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PZoNMa5OPWa8Xa2C1Qk+DGxLyNDA3AqH5d0onsaHvfccC/KRPXgUlnB/fPChgytBoDPuk9Syi4kXaSYSl8X9YA==" workbookSaltValue="epgL5u6Ka57iW6am5KPC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J21" i="11" s="1"/>
  <c r="F16" i="11"/>
  <c r="AQ16" i="11" s="1"/>
  <c r="EP31" i="8"/>
  <c r="AL14" i="16"/>
  <c r="AJ14" i="16"/>
  <c r="EP31" i="19"/>
  <c r="S14" i="16"/>
  <c r="P14" i="16"/>
  <c r="F13" i="16"/>
  <c r="Z14" i="17"/>
  <c r="R30" i="17"/>
  <c r="K26" i="2"/>
  <c r="N26" i="2"/>
  <c r="M23" i="2"/>
  <c r="K30" i="2"/>
  <c r="F30" i="17"/>
  <c r="F26" i="17"/>
  <c r="F14" i="7"/>
  <c r="BJ29" i="11"/>
  <c r="AZ13" i="11"/>
  <c r="V29" i="11"/>
  <c r="AZ21" i="11"/>
  <c r="BJ28" i="11"/>
  <c r="BU11" i="17"/>
  <c r="BU21" i="17"/>
  <c r="BW17" i="20"/>
  <c r="X21" i="16"/>
  <c r="BU19" i="17"/>
  <c r="BV22" i="16"/>
  <c r="S22" i="17"/>
  <c r="S16" i="16"/>
  <c r="BL16" i="11"/>
  <c r="AZ25" i="11"/>
  <c r="AZ30" i="11" s="1"/>
  <c r="BM18" i="11"/>
  <c r="AQ12" i="21"/>
  <c r="BI21" i="11"/>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F32" i="20"/>
  <c r="G26" i="14"/>
  <c r="S32" i="20"/>
  <c r="AQ32" i="21"/>
  <c r="O17" i="11"/>
  <c r="AJ32" i="20"/>
  <c r="G30" i="14"/>
  <c r="G23" i="14"/>
  <c r="U18" i="11"/>
  <c r="AX32" i="20"/>
  <c r="L32" i="20"/>
  <c r="H32" i="20"/>
  <c r="AF32" i="20"/>
  <c r="K32" i="20"/>
  <c r="BF17" i="8" l="1"/>
  <c r="V21" i="11"/>
  <c r="AA11" i="16"/>
  <c r="L17" i="2"/>
  <c r="L28" i="2"/>
  <c r="BH25" i="11"/>
  <c r="BH17" i="11"/>
  <c r="BK17" i="11"/>
  <c r="BH21" i="11"/>
  <c r="BL20" i="11"/>
  <c r="BF20" i="11"/>
  <c r="BU17" i="17"/>
  <c r="BW10" i="20"/>
  <c r="BU9" i="17"/>
  <c r="BV25" i="16"/>
  <c r="BV17" i="16"/>
  <c r="BW9" i="20"/>
  <c r="BU28" i="17"/>
  <c r="BM20" i="11"/>
  <c r="V22" i="11"/>
  <c r="BH28" i="16"/>
  <c r="BJ12" i="11"/>
  <c r="BH9" i="11"/>
  <c r="BK16" i="11"/>
  <c r="BK9" i="11"/>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R13" i="14"/>
  <c r="S12" i="14"/>
  <c r="V12" i="14" s="1"/>
  <c r="S19" i="14"/>
  <c r="V19" i="14" s="1"/>
  <c r="S17" i="14"/>
  <c r="V17" i="14" s="1"/>
  <c r="S29" i="14"/>
  <c r="V29" i="14" s="1"/>
  <c r="R10" i="14"/>
  <c r="BK19" i="11"/>
  <c r="BH19" i="11"/>
  <c r="BF29" i="11"/>
  <c r="BM29" i="11"/>
  <c r="P18" i="17"/>
  <c r="BH19" i="16"/>
  <c r="BH16" i="11"/>
  <c r="BK13" i="11"/>
  <c r="S20" i="14"/>
  <c r="V20" i="14" s="1"/>
  <c r="BH11" i="16"/>
  <c r="T9" i="11"/>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AQ32" i="20"/>
  <c r="AA32" i="20"/>
  <c r="AN32" i="20"/>
  <c r="AD32" i="20"/>
  <c r="AC32" i="20"/>
  <c r="AV32" i="20"/>
  <c r="U17" i="11"/>
  <c r="W32" i="21"/>
  <c r="K17"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Z32" i="11"/>
  <c r="G32" i="12"/>
  <c r="K32" i="16"/>
  <c r="AJ32" i="21"/>
  <c r="AC32" i="16"/>
  <c r="AA32" i="21"/>
  <c r="AY32" i="11"/>
  <c r="N32" i="16"/>
  <c r="AH32" i="16"/>
  <c r="E32" i="17"/>
  <c r="S32" i="11"/>
  <c r="BE32" i="21"/>
  <c r="J32" i="16"/>
  <c r="AN32" i="16"/>
  <c r="AU32" i="21"/>
  <c r="AG32" i="17"/>
  <c r="F32" i="16"/>
  <c r="AK32" i="11"/>
  <c r="E32" i="12"/>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J32" i="11"/>
  <c r="AG32" i="21"/>
  <c r="BO32" i="16"/>
  <c r="AE32" i="16"/>
  <c r="R32" i="16"/>
  <c r="AM32" i="11"/>
  <c r="Q32" i="17"/>
  <c r="BC32" i="16"/>
  <c r="AE32" i="17"/>
  <c r="AC32" i="17"/>
  <c r="AF32" i="16"/>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<sst xmlns="http://schemas.openxmlformats.org/spreadsheetml/2006/main" count="2682" uniqueCount="1193">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</sst>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3yrY8Oz8VXyKXrcD2HPG55xSzOGsvyiTzQM3ogs2UTRVyUp0e/LYsp7bDyxV2lmGOe/x5UUL49GmPao4dugcQ==" saltValue="/WfC/jt+GLyc/lKZK/Qa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32.256528417818743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1082</v>
      </c>
      <c r="D17" s="239">
        <f>IF(ISNUMBER(IF(D_I="SI",Datos!I17,Datos!I17+Datos!AC17)),IF(D_I="SI",Datos!I17,Datos!I17+Datos!AC17)," - ")</f>
        <v>1328</v>
      </c>
      <c r="E17" s="240">
        <f>IF(ISNUMBER(IF(D_I="SI",Datos!J17,Datos!J17+Datos!AD17)),IF(D_I="SI",Datos!J17,Datos!J17+Datos!AD17)," - ")</f>
        <v>677</v>
      </c>
      <c r="F17" s="240">
        <f>IF(ISNUMBER(IF(D_I="SI",Datos!K17,Datos!K17+Datos!AE17)),IF(D_I="SI",Datos!K17,Datos!K17+Datos!AE17)," - ")</f>
        <v>665</v>
      </c>
      <c r="G17" s="1390" t="str">
        <f>IF(Datos!E17&lt;&gt;"",Datos!E17,Datos!D17)</f>
        <v>04</v>
      </c>
      <c r="H17" s="241">
        <f>IF(ISNUMBER(IF(D_I="SI",Datos!L17,Datos!L17+Datos!AF17)),IF(D_I="SI",Datos!L17,Datos!L17+Datos!AF17)," - ")</f>
        <v>1094</v>
      </c>
      <c r="I17" s="1400" t="str">
        <f>IF(ISNUMBER(Datos!AS17/Datos!BM17),Datos!AS17/Datos!BM17," - ")</f>
        <v xml:space="preserve"> - </v>
      </c>
      <c r="J17" s="1401">
        <f>IF(ISNUMBER(Datos!BY17/Datos!CN17),Datos!BY17/Datos!CN17," - ")</f>
        <v>0</v>
      </c>
      <c r="K17" s="244">
        <f t="shared" si="3"/>
        <v>1.1090573012939002E-2</v>
      </c>
      <c r="L17" s="1402">
        <f>IF(ISNUMBER(NºAsuntos!I17/NºAsuntos!G17),(NºAsuntos!I17/NºAsuntos!G17)*11," - ")</f>
        <v>18.096240601503759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1113</v>
      </c>
      <c r="D23" s="1407">
        <f>SUBTOTAL(9,D16:D22)</f>
        <v>1359</v>
      </c>
      <c r="E23" s="1408">
        <f>SUBTOTAL(9,E16:E22)</f>
        <v>677</v>
      </c>
      <c r="F23" s="1408">
        <f>SUBTOTAL(9,F16:F22)</f>
        <v>665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1113</v>
      </c>
      <c r="D31" s="1435">
        <f>SUBTOTAL(9,D9:D30)</f>
        <v>1359</v>
      </c>
      <c r="E31" s="1436">
        <f>SUBTOTAL(9,E9:E30)</f>
        <v>677</v>
      </c>
      <c r="F31" s="1436">
        <f>SUBTOTAL(9,F9:F30)</f>
        <v>665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WMuwLdslyaQiw2v9z2MIr2e2nGBKtqVV4v9a0698RzjjyOxn8SKpAMe/oadmkDwM6X81Iwmj9RODn6dGGLv1g==" saltValue="M5bzcnONHPbMmGSHlsSzW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QdqZgTqGVw/1BkBp75UOnGH79QXDj0lrB7o23NMCvA0c6wg8a7Ug8GATQpy/qvWhgHVvfBmI7bK5Z62lWNpHg==" saltValue="CXk5gaCiaP7odpMGJT/5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1727</v>
      </c>
      <c r="J12" s="196">
        <v>481</v>
      </c>
      <c r="K12" s="196">
        <v>621</v>
      </c>
      <c r="L12" s="196">
        <v>1891</v>
      </c>
      <c r="M12" s="196">
        <v>94</v>
      </c>
      <c r="N12" s="196">
        <v>199</v>
      </c>
      <c r="O12" s="194">
        <v>398</v>
      </c>
      <c r="P12" s="196">
        <v>169</v>
      </c>
      <c r="Q12" s="196">
        <v>178</v>
      </c>
      <c r="R12" s="196">
        <v>3040</v>
      </c>
      <c r="S12" s="196">
        <v>1975</v>
      </c>
      <c r="T12" s="196">
        <v>395</v>
      </c>
      <c r="U12" s="196">
        <v>479</v>
      </c>
      <c r="V12" s="196">
        <v>1901</v>
      </c>
      <c r="W12" s="196">
        <v>98</v>
      </c>
      <c r="X12" s="202">
        <v>121</v>
      </c>
      <c r="Y12" s="204">
        <v>15</v>
      </c>
      <c r="Z12" s="194">
        <v>32</v>
      </c>
      <c r="AA12" s="194">
        <v>30</v>
      </c>
      <c r="AB12" s="194">
        <v>18</v>
      </c>
      <c r="AC12" s="196">
        <v>0</v>
      </c>
      <c r="AD12" s="196">
        <v>0</v>
      </c>
      <c r="AE12" s="196">
        <v>0</v>
      </c>
      <c r="AF12" s="202">
        <v>0</v>
      </c>
      <c r="AG12" s="215">
        <v>49</v>
      </c>
      <c r="AH12" s="196">
        <v>34</v>
      </c>
      <c r="AI12" s="196">
        <v>25</v>
      </c>
      <c r="AJ12" s="216">
        <v>58</v>
      </c>
      <c r="AK12" s="195">
        <v>0</v>
      </c>
      <c r="AL12" s="196">
        <v>0</v>
      </c>
      <c r="AM12" s="196">
        <v>0</v>
      </c>
      <c r="AN12" s="202">
        <v>0</v>
      </c>
      <c r="AO12" s="283">
        <v>3</v>
      </c>
      <c r="AP12" s="168">
        <v>3</v>
      </c>
      <c r="AQ12" s="168">
        <v>3</v>
      </c>
      <c r="AR12" s="167">
        <v>3</v>
      </c>
      <c r="AS12" s="381" t="s">
        <v>1075</v>
      </c>
      <c r="AT12" s="216"/>
      <c r="AU12" s="215"/>
      <c r="AV12" s="216"/>
      <c r="AW12" s="215"/>
      <c r="AX12" s="216"/>
      <c r="AY12" s="136">
        <f t="shared" si="1"/>
        <v>2024</v>
      </c>
      <c r="AZ12" s="137">
        <f t="shared" si="1"/>
        <v>429</v>
      </c>
      <c r="BA12" s="137">
        <f t="shared" si="1"/>
        <v>504</v>
      </c>
      <c r="BB12" s="137">
        <f t="shared" si="1"/>
        <v>1959</v>
      </c>
      <c r="BC12" s="135">
        <f>IF(ISNUMBER(X12),X12," - ")</f>
        <v>121</v>
      </c>
      <c r="BD12" s="136">
        <f t="shared" si="2"/>
        <v>1.1748251748251748</v>
      </c>
      <c r="BE12" s="137">
        <f t="shared" si="3"/>
        <v>3.8869047619047619</v>
      </c>
      <c r="BF12" s="137">
        <f t="shared" si="4"/>
        <v>0.24007936507936509</v>
      </c>
      <c r="BG12" s="209">
        <f t="shared" si="5"/>
        <v>4.8670634920634921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1727</v>
      </c>
      <c r="J14" s="197">
        <f t="shared" si="7"/>
        <v>481</v>
      </c>
      <c r="K14" s="197">
        <f t="shared" si="7"/>
        <v>621</v>
      </c>
      <c r="L14" s="197">
        <f t="shared" si="7"/>
        <v>1891</v>
      </c>
      <c r="M14" s="197">
        <f t="shared" si="7"/>
        <v>94</v>
      </c>
      <c r="N14" s="197">
        <f t="shared" si="7"/>
        <v>199</v>
      </c>
      <c r="O14" s="197">
        <f t="shared" si="7"/>
        <v>398</v>
      </c>
      <c r="P14" s="197">
        <f t="shared" si="7"/>
        <v>169</v>
      </c>
      <c r="Q14" s="197">
        <f t="shared" si="7"/>
        <v>178</v>
      </c>
      <c r="R14" s="197">
        <f t="shared" si="7"/>
        <v>3040</v>
      </c>
      <c r="S14" s="197">
        <f t="shared" si="7"/>
        <v>1977</v>
      </c>
      <c r="T14" s="197">
        <f t="shared" si="7"/>
        <v>395</v>
      </c>
      <c r="U14" s="197">
        <f t="shared" si="7"/>
        <v>479</v>
      </c>
      <c r="V14" s="197">
        <f t="shared" si="7"/>
        <v>1903</v>
      </c>
      <c r="W14" s="197">
        <f t="shared" si="7"/>
        <v>98</v>
      </c>
      <c r="X14" s="197">
        <f t="shared" si="7"/>
        <v>121</v>
      </c>
      <c r="Y14" s="197">
        <f t="shared" si="7"/>
        <v>15</v>
      </c>
      <c r="Z14" s="197">
        <f t="shared" si="7"/>
        <v>32</v>
      </c>
      <c r="AA14" s="197">
        <f t="shared" si="7"/>
        <v>30</v>
      </c>
      <c r="AB14" s="197">
        <f t="shared" si="7"/>
        <v>18</v>
      </c>
      <c r="AC14" s="197">
        <f t="shared" si="7"/>
        <v>0</v>
      </c>
      <c r="AD14" s="197">
        <f t="shared" si="7"/>
        <v>0</v>
      </c>
      <c r="AE14" s="197">
        <f t="shared" si="7"/>
        <v>0</v>
      </c>
      <c r="AF14" s="197">
        <f>SUBTOTAL(9,AF9:AF13)</f>
        <v>0</v>
      </c>
      <c r="AG14" s="197">
        <f t="shared" ref="AG14:AT14" si="8">SUBTOTAL(9,AG8:AG13)</f>
        <v>49</v>
      </c>
      <c r="AH14" s="197">
        <f t="shared" si="8"/>
        <v>34</v>
      </c>
      <c r="AI14" s="197">
        <f t="shared" si="8"/>
        <v>25</v>
      </c>
      <c r="AJ14" s="197">
        <f t="shared" si="8"/>
        <v>58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2026</v>
      </c>
      <c r="AZ14" s="197">
        <f>SUBTOTAL(9,AZ8:AZ13)</f>
        <v>429</v>
      </c>
      <c r="BA14" s="197">
        <f>SUBTOTAL(9,BA8:BA13)</f>
        <v>504</v>
      </c>
      <c r="BB14" s="197">
        <f>SUBTOTAL(9,BB8:BB13)</f>
        <v>1961</v>
      </c>
      <c r="BC14" s="197">
        <f>SUBTOTAL(9,BC8:BC13)</f>
        <v>121</v>
      </c>
      <c r="BD14" s="219">
        <f>IF(ISNUMBER(BA14/AZ14),BA14/AZ14," - ")</f>
        <v>1.1748251748251748</v>
      </c>
      <c r="BE14" s="220">
        <f>IF(ISNUMBER(BB14/BA14),BB14/BA14, " - ")</f>
        <v>3.8908730158730158</v>
      </c>
      <c r="BF14" s="220">
        <f>IF(ISNUMBER(BC14/BA14),BC14/BA14, " - ")</f>
        <v>0.24007936507936509</v>
      </c>
      <c r="BG14" s="221">
        <f>IF(ISNUMBER((AY14+AZ14)/BA14),(AY14+AZ14)/BA14," - ")</f>
        <v>4.871031746031746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1328</v>
      </c>
      <c r="J17" s="196">
        <v>677</v>
      </c>
      <c r="K17" s="196">
        <v>665</v>
      </c>
      <c r="L17" s="196">
        <v>1094</v>
      </c>
      <c r="M17" s="196">
        <v>95</v>
      </c>
      <c r="N17" s="196">
        <v>394</v>
      </c>
      <c r="O17" s="194">
        <v>0</v>
      </c>
      <c r="P17" s="196">
        <v>29</v>
      </c>
      <c r="Q17" s="196">
        <v>67</v>
      </c>
      <c r="R17" s="196">
        <v>112</v>
      </c>
      <c r="S17" s="196">
        <v>1983</v>
      </c>
      <c r="T17" s="196">
        <v>751</v>
      </c>
      <c r="U17" s="196">
        <v>618</v>
      </c>
      <c r="V17" s="196">
        <v>2116</v>
      </c>
      <c r="W17" s="196">
        <v>108</v>
      </c>
      <c r="X17" s="202">
        <v>398</v>
      </c>
      <c r="Y17" s="215">
        <v>0</v>
      </c>
      <c r="Z17" s="196">
        <v>0</v>
      </c>
      <c r="AA17" s="196">
        <v>0</v>
      </c>
      <c r="AB17" s="196">
        <v>0</v>
      </c>
      <c r="AC17" s="196">
        <v>1</v>
      </c>
      <c r="AD17" s="196">
        <v>13</v>
      </c>
      <c r="AE17" s="196">
        <v>14</v>
      </c>
      <c r="AF17" s="202">
        <v>0</v>
      </c>
      <c r="AG17" s="215">
        <v>0</v>
      </c>
      <c r="AH17" s="196">
        <v>0</v>
      </c>
      <c r="AI17" s="196">
        <v>0</v>
      </c>
      <c r="AJ17" s="216">
        <v>0</v>
      </c>
      <c r="AK17" s="195">
        <v>8</v>
      </c>
      <c r="AL17" s="196">
        <v>3</v>
      </c>
      <c r="AM17" s="196">
        <v>11</v>
      </c>
      <c r="AN17" s="202">
        <v>0</v>
      </c>
      <c r="AO17" s="283">
        <v>3</v>
      </c>
      <c r="AP17" s="168">
        <v>3</v>
      </c>
      <c r="AQ17" s="168">
        <v>3</v>
      </c>
      <c r="AR17" s="168">
        <v>3</v>
      </c>
      <c r="AS17" s="381" t="s">
        <v>650</v>
      </c>
      <c r="AT17" s="216"/>
      <c r="AU17" s="215"/>
      <c r="AV17" s="216"/>
      <c r="AW17" s="215"/>
      <c r="AX17" s="216"/>
      <c r="AY17" s="136">
        <f t="shared" si="10"/>
        <v>1983</v>
      </c>
      <c r="AZ17" s="137">
        <f t="shared" si="10"/>
        <v>751</v>
      </c>
      <c r="BA17" s="137">
        <f t="shared" si="10"/>
        <v>618</v>
      </c>
      <c r="BB17" s="137">
        <f t="shared" si="10"/>
        <v>2116</v>
      </c>
      <c r="BC17" s="135">
        <f>IF(ISNUMBER(W17),W17," - ")</f>
        <v>108</v>
      </c>
      <c r="BD17" s="136">
        <f t="shared" ref="BD17:BD22" si="12">IF(ISNUMBER(BA17/AZ17),BA17/AZ17," - ")</f>
        <v>0.82290279627163787</v>
      </c>
      <c r="BE17" s="137">
        <f t="shared" ref="BE17:BE22" si="13">IF(ISNUMBER(BB17/BA17),BB17/BA17, " - ")</f>
        <v>3.4239482200647249</v>
      </c>
      <c r="BF17" s="137">
        <f t="shared" ref="BF17:BF22" si="14">IF(ISNUMBER(BC17/BA17),BC17/BA17, " - ")</f>
        <v>0.17475728155339806</v>
      </c>
      <c r="BG17" s="209">
        <f t="shared" si="11"/>
        <v>4.4239482200647249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0</v>
      </c>
      <c r="K18" s="196">
        <v>0</v>
      </c>
      <c r="L18" s="196">
        <v>31</v>
      </c>
      <c r="M18" s="196">
        <v>0</v>
      </c>
      <c r="N18" s="196">
        <v>0</v>
      </c>
      <c r="O18" s="196">
        <v>0</v>
      </c>
      <c r="P18" s="196">
        <v>0</v>
      </c>
      <c r="Q18" s="196">
        <v>0</v>
      </c>
      <c r="R18" s="196">
        <v>4</v>
      </c>
      <c r="S18" s="196">
        <v>45</v>
      </c>
      <c r="T18" s="196">
        <v>0</v>
      </c>
      <c r="U18" s="196">
        <v>0</v>
      </c>
      <c r="V18" s="196">
        <v>45</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0</v>
      </c>
      <c r="BA18" s="139">
        <f t="shared" si="15"/>
        <v>0</v>
      </c>
      <c r="BB18" s="139">
        <f t="shared" si="15"/>
        <v>45</v>
      </c>
      <c r="BC18" s="135">
        <f>IF(ISNUMBER(W18),W18," - ")</f>
        <v>0</v>
      </c>
      <c r="BD18" s="136" t="str">
        <f>IF(ISNUMBER(BA18/AZ18),BA18/AZ18," - ")</f>
        <v xml:space="preserve"> - </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1359</v>
      </c>
      <c r="J23" s="197">
        <f t="shared" si="21"/>
        <v>677</v>
      </c>
      <c r="K23" s="197">
        <f t="shared" si="21"/>
        <v>665</v>
      </c>
      <c r="L23" s="197">
        <f t="shared" si="21"/>
        <v>1125</v>
      </c>
      <c r="M23" s="197">
        <f t="shared" si="21"/>
        <v>95</v>
      </c>
      <c r="N23" s="197">
        <f t="shared" si="21"/>
        <v>394</v>
      </c>
      <c r="O23" s="197">
        <f t="shared" si="21"/>
        <v>0</v>
      </c>
      <c r="P23" s="197">
        <f t="shared" si="21"/>
        <v>29</v>
      </c>
      <c r="Q23" s="197">
        <f t="shared" si="21"/>
        <v>67</v>
      </c>
      <c r="R23" s="197">
        <f t="shared" si="21"/>
        <v>116</v>
      </c>
      <c r="S23" s="197">
        <f t="shared" si="21"/>
        <v>2028</v>
      </c>
      <c r="T23" s="197">
        <f t="shared" si="21"/>
        <v>751</v>
      </c>
      <c r="U23" s="197">
        <f t="shared" si="21"/>
        <v>618</v>
      </c>
      <c r="V23" s="197">
        <f t="shared" si="21"/>
        <v>2161</v>
      </c>
      <c r="W23" s="197">
        <f t="shared" si="21"/>
        <v>108</v>
      </c>
      <c r="X23" s="197">
        <f t="shared" si="21"/>
        <v>398</v>
      </c>
      <c r="Y23" s="197">
        <f t="shared" si="21"/>
        <v>0</v>
      </c>
      <c r="Z23" s="197">
        <f t="shared" si="21"/>
        <v>0</v>
      </c>
      <c r="AA23" s="197">
        <f t="shared" si="21"/>
        <v>0</v>
      </c>
      <c r="AB23" s="197">
        <f t="shared" si="21"/>
        <v>0</v>
      </c>
      <c r="AC23" s="197">
        <f t="shared" si="21"/>
        <v>1</v>
      </c>
      <c r="AD23" s="197">
        <f t="shared" si="21"/>
        <v>13</v>
      </c>
      <c r="AE23" s="197">
        <f t="shared" si="21"/>
        <v>14</v>
      </c>
      <c r="AF23" s="197">
        <f t="shared" si="21"/>
        <v>0</v>
      </c>
      <c r="AG23" s="197">
        <f t="shared" si="21"/>
        <v>0</v>
      </c>
      <c r="AH23" s="197">
        <f t="shared" si="21"/>
        <v>0</v>
      </c>
      <c r="AI23" s="197">
        <f t="shared" si="21"/>
        <v>0</v>
      </c>
      <c r="AJ23" s="197">
        <f t="shared" si="21"/>
        <v>0</v>
      </c>
      <c r="AK23" s="197">
        <f t="shared" si="21"/>
        <v>8</v>
      </c>
      <c r="AL23" s="197">
        <f t="shared" si="21"/>
        <v>3</v>
      </c>
      <c r="AM23" s="197">
        <f t="shared" si="21"/>
        <v>11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2028</v>
      </c>
      <c r="AZ23" s="197">
        <f>SUBTOTAL(9,AZ15:AZ22)</f>
        <v>751</v>
      </c>
      <c r="BA23" s="197">
        <f>SUBTOTAL(9,BA15:BA22)</f>
        <v>618</v>
      </c>
      <c r="BB23" s="197">
        <f>SUBTOTAL(9,BB15:BB22)</f>
        <v>2161</v>
      </c>
      <c r="BC23" s="197">
        <f>SUBTOTAL(9,BC15:BC22)</f>
        <v>108</v>
      </c>
      <c r="BD23" s="219">
        <f>IF(ISNUMBER(BA23/AZ23),BA23/AZ23," - ")</f>
        <v>0.82290279627163787</v>
      </c>
      <c r="BE23" s="220">
        <f>IF(ISNUMBER(BB23/BA23),BB23/BA23, " - ")</f>
        <v>3.4967637540453076</v>
      </c>
      <c r="BF23" s="220">
        <f>IF(ISNUMBER(BC23/BA23),BC23/BA23, " - ")</f>
        <v>0.17475728155339806</v>
      </c>
      <c r="BG23" s="221">
        <f>IF(ISNUMBER((AY23+AZ23)/BA23),(AY23+AZ23)/BA23," - ")</f>
        <v>4.4967637540453076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3086</v>
      </c>
      <c r="J31" s="144">
        <f t="shared" si="36"/>
        <v>1158</v>
      </c>
      <c r="K31" s="144">
        <f t="shared" si="36"/>
        <v>1286</v>
      </c>
      <c r="L31" s="144">
        <f t="shared" si="36"/>
        <v>3016</v>
      </c>
      <c r="M31" s="144">
        <f t="shared" si="36"/>
        <v>189</v>
      </c>
      <c r="N31" s="144">
        <f t="shared" si="36"/>
        <v>593</v>
      </c>
      <c r="O31" s="144">
        <f t="shared" si="36"/>
        <v>398</v>
      </c>
      <c r="P31" s="144">
        <f t="shared" si="36"/>
        <v>198</v>
      </c>
      <c r="Q31" s="144">
        <f t="shared" si="36"/>
        <v>245</v>
      </c>
      <c r="R31" s="144">
        <f t="shared" si="36"/>
        <v>3156</v>
      </c>
      <c r="S31" s="144">
        <f t="shared" si="36"/>
        <v>4005</v>
      </c>
      <c r="T31" s="144">
        <f t="shared" si="36"/>
        <v>1146</v>
      </c>
      <c r="U31" s="144">
        <f t="shared" si="36"/>
        <v>1097</v>
      </c>
      <c r="V31" s="144">
        <f t="shared" si="36"/>
        <v>4064</v>
      </c>
      <c r="W31" s="144">
        <f t="shared" si="36"/>
        <v>206</v>
      </c>
      <c r="X31" s="144">
        <f t="shared" si="36"/>
        <v>519</v>
      </c>
      <c r="Y31" s="144">
        <f t="shared" si="36"/>
        <v>15</v>
      </c>
      <c r="Z31" s="144">
        <f t="shared" si="36"/>
        <v>32</v>
      </c>
      <c r="AA31" s="144">
        <f t="shared" si="36"/>
        <v>30</v>
      </c>
      <c r="AB31" s="144">
        <f t="shared" si="36"/>
        <v>18</v>
      </c>
      <c r="AC31" s="144">
        <f t="shared" si="36"/>
        <v>1</v>
      </c>
      <c r="AD31" s="144">
        <f t="shared" si="36"/>
        <v>13</v>
      </c>
      <c r="AE31" s="144">
        <f t="shared" si="36"/>
        <v>14</v>
      </c>
      <c r="AF31" s="144">
        <f t="shared" si="36"/>
        <v>0</v>
      </c>
      <c r="AG31" s="144">
        <f t="shared" si="36"/>
        <v>49</v>
      </c>
      <c r="AH31" s="144">
        <f t="shared" si="36"/>
        <v>34</v>
      </c>
      <c r="AI31" s="144">
        <f t="shared" si="36"/>
        <v>25</v>
      </c>
      <c r="AJ31" s="144">
        <f t="shared" si="36"/>
        <v>58</v>
      </c>
      <c r="AK31" s="144">
        <f t="shared" si="36"/>
        <v>8</v>
      </c>
      <c r="AL31" s="144">
        <f t="shared" si="36"/>
        <v>3</v>
      </c>
      <c r="AM31" s="144">
        <f t="shared" si="36"/>
        <v>11</v>
      </c>
      <c r="AN31" s="224">
        <f t="shared" si="36"/>
        <v>0</v>
      </c>
      <c r="AO31" s="225">
        <v>4</v>
      </c>
      <c r="AP31" s="225">
        <v>3</v>
      </c>
      <c r="AQ31" s="225">
        <v>3</v>
      </c>
      <c r="AR31" s="225">
        <v>3</v>
      </c>
      <c r="AS31" s="166">
        <f t="shared" si="36"/>
        <v>0</v>
      </c>
      <c r="AT31" s="166">
        <f t="shared" si="36"/>
        <v>0</v>
      </c>
      <c r="AU31" s="225"/>
      <c r="AV31" s="226"/>
      <c r="AW31" s="225"/>
      <c r="AX31" s="226"/>
      <c r="AY31" s="143">
        <f>SUBTOTAL(9,AY9:AY30)</f>
        <v>4054</v>
      </c>
      <c r="AZ31" s="144">
        <f>SUBTOTAL(9,AZ9:AZ30)</f>
        <v>1180</v>
      </c>
      <c r="BA31" s="144">
        <f>SUBTOTAL(9,BA9:BA30)</f>
        <v>1122</v>
      </c>
      <c r="BB31" s="144">
        <f>SUBTOTAL(9,BB9:BB30)</f>
        <v>4122</v>
      </c>
      <c r="BC31" s="145">
        <f>SUBTOTAL(9,BC9:BC30)</f>
        <v>229</v>
      </c>
      <c r="BD31" s="227">
        <f>IF(ISNUMBER(BA31/AZ31),BA31/AZ31," - ")</f>
        <v>0.95084745762711864</v>
      </c>
      <c r="BE31" s="224">
        <f>IF(ISNUMBER(BB31/BA31),BB31/BA31, " - ")</f>
        <v>3.6737967914438503</v>
      </c>
      <c r="BF31" s="224">
        <f>IF(ISNUMBER(BC31/BA31),BC31/BA31, " - ")</f>
        <v>0.20409982174688057</v>
      </c>
      <c r="BG31" s="145">
        <f>IF(ISNUMBER((AY31+AZ31)/BA31),(AY31+AZ31)/BA31," - ")</f>
        <v>4.6648841354723709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df39Y2cO8Tj79TXtM8KJJNpIwjC0kQ14epInd0t7EHq0G2WxcDsjaiGZbcBNliSuuw3JSEG0JPjaHb06BFMw==" saltValue="9pPeThru0UHQ1wH4aY4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pAItFlNd9QmRadRdl5nSRAN1EvNBOYQwDyUirhTt7kciAWx94cJvUEuXfX98iWnbp4KPeze+P0JKMD+gwmLPQ==" saltValue="Az8mTPsbUovLuBjTSOIx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 ROQUE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169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3040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199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1.2690058479532165</v>
      </c>
      <c r="BH12" s="764">
        <f>IF(ISNUMBER(((IF(J_V="SI",Datos!L12/Datos!K12,(Datos!L12+Datos!AB12)/(Datos!K12+Datos!AA12)))*11)/factor_trimestre),((IF(J_V="SI",Datos!L12/Datos!K12,(Datos!L12+Datos!AB12)/(Datos!K12+Datos!AA12)))*11)/factor_trimestre," - ")</f>
        <v>8.7972350230414751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-2.9517874713020664E-3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169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178</v>
      </c>
      <c r="AD14" s="1198">
        <f t="shared" si="2"/>
        <v>0</v>
      </c>
      <c r="AE14" s="1198">
        <f t="shared" si="2"/>
        <v>0</v>
      </c>
      <c r="AF14" s="1198">
        <f t="shared" si="2"/>
        <v>0</v>
      </c>
      <c r="AG14" s="1198">
        <f t="shared" si="2"/>
        <v>0</v>
      </c>
      <c r="AH14" s="1198">
        <f t="shared" si="2"/>
        <v>18</v>
      </c>
      <c r="AI14" s="1198">
        <f t="shared" si="2"/>
        <v>0</v>
      </c>
      <c r="AJ14" s="1198">
        <f t="shared" si="2"/>
        <v>0</v>
      </c>
      <c r="AK14" s="1198">
        <f t="shared" si="2"/>
        <v>0</v>
      </c>
      <c r="AL14" s="1198">
        <f t="shared" si="2"/>
        <v>0</v>
      </c>
      <c r="AM14" s="1198">
        <f t="shared" si="2"/>
        <v>3040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199</v>
      </c>
      <c r="BE14" s="1198">
        <f t="shared" si="2"/>
        <v>0</v>
      </c>
      <c r="BF14" s="1198">
        <f t="shared" si="2"/>
        <v>0</v>
      </c>
      <c r="BG14" s="1198">
        <f>IF(ISNUMBER(Datos!K14/Datos!J14),Datos!K14/Datos!J14," - ")</f>
        <v>1.2910602910602911</v>
      </c>
      <c r="BH14" s="1202">
        <f>IF(ISNUMBER(((Datos!L14/Datos!K14)*11)/factor_trimestre),((Datos!L14/Datos!K14)*11)/factor_trimestre," - ")</f>
        <v>9.1352657004830924</v>
      </c>
      <c r="BI14" s="1198">
        <f>IF(ISNUMBER('Resol  Asuntos'!D14/NºAsuntos!G14),'Resol  Asuntos'!D14/NºAsuntos!G14," - ")</f>
        <v>0.14439324116743471</v>
      </c>
      <c r="BJ14" s="1198" t="str">
        <f>IF(ISNUMBER(Datos!CI14/Datos!CJ14),Datos!CI14/Datos!CJ14," - ")</f>
        <v xml:space="preserve"> - </v>
      </c>
      <c r="BK14" s="1198">
        <f>SUBTOTAL(9,BK8:BK13)</f>
        <v>0</v>
      </c>
      <c r="BL14" s="1198" t="str">
        <f>IF(ISNUMBER((I14-AB14+L14)/(F14)),(I14-AB14+L14)/(F14)," - ")</f>
        <v xml:space="preserve"> - </v>
      </c>
      <c r="BM14" s="1203">
        <f>SUBTOTAL(9,BM9:BM13)</f>
        <v>-2.9517874713020664E-3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1082</v>
      </c>
      <c r="G17" s="743">
        <f>IF(ISNUMBER(IF(D_I="SI",Datos!I17,Datos!I17+Datos!AC17)),IF(D_I="SI",Datos!I17,Datos!I17+Datos!AC17)," - ")</f>
        <v>1328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665</v>
      </c>
      <c r="AC17" s="240">
        <f>IF(ISNUMBER(Datos!Q17),Datos!Q17," - ")</f>
        <v>67</v>
      </c>
      <c r="AD17" s="374"/>
      <c r="AE17" s="562"/>
      <c r="AF17" s="741">
        <f>IF(ISNUMBER(IF(D_I="SI",Datos!L17,Datos!L17+Datos!AF17)),IF(D_I="SI",Datos!L17,Datos!L17+Datos!AF17)," - ")</f>
        <v>1094</v>
      </c>
      <c r="AG17" s="374"/>
      <c r="AH17" s="374"/>
      <c r="AI17" s="374"/>
      <c r="AJ17" s="549"/>
      <c r="AK17" s="374"/>
      <c r="AL17" s="545"/>
      <c r="AM17" s="375">
        <f>IF(ISNUMBER(Datos!R17),Datos!R17," - ")</f>
        <v>112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95</v>
      </c>
      <c r="BD17" s="243">
        <f>IF(ISNUMBER(Datos!N17),Datos!N17," - ")</f>
        <v>394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0.98227474150664695</v>
      </c>
      <c r="BH17" s="764">
        <f>IF(ISNUMBER(((IF(D_I="SI",Datos!L17/Datos!K17,(Datos!L17+Datos!AF17)/(Datos!K17+Datos!AE17)))*11)/factor_trimestre),((IF(D_I="SI",Datos!L17/Datos!K17,(Datos!L17+Datos!AF17)/(Datos!K17+Datos!AE17)))*11)/factor_trimestre," - ")</f>
        <v>4.935338345864662</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31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1082</v>
      </c>
      <c r="G23" s="1197">
        <f>SUBTOTAL(9,G16:G22)</f>
        <v>1359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665</v>
      </c>
      <c r="AC23" s="1198">
        <f t="shared" si="5"/>
        <v>67</v>
      </c>
      <c r="AD23" s="1198">
        <f t="shared" si="5"/>
        <v>0</v>
      </c>
      <c r="AE23" s="1198">
        <f t="shared" si="5"/>
        <v>0</v>
      </c>
      <c r="AF23" s="1198">
        <f t="shared" si="5"/>
        <v>1125</v>
      </c>
      <c r="AG23" s="1198">
        <f t="shared" si="5"/>
        <v>0</v>
      </c>
      <c r="AH23" s="1198">
        <f t="shared" si="5"/>
        <v>0</v>
      </c>
      <c r="AI23" s="1198">
        <f t="shared" si="5"/>
        <v>0</v>
      </c>
      <c r="AJ23" s="1198">
        <f t="shared" si="5"/>
        <v>0</v>
      </c>
      <c r="AK23" s="1198">
        <f t="shared" si="5"/>
        <v>0</v>
      </c>
      <c r="AL23" s="1198">
        <f t="shared" si="5"/>
        <v>0</v>
      </c>
      <c r="AM23" s="1198">
        <f t="shared" si="5"/>
        <v>116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95</v>
      </c>
      <c r="BD23" s="1198">
        <f t="shared" si="5"/>
        <v>394</v>
      </c>
      <c r="BE23" s="1198">
        <f t="shared" si="5"/>
        <v>0</v>
      </c>
      <c r="BF23" s="1198">
        <f t="shared" si="5"/>
        <v>0</v>
      </c>
      <c r="BG23" s="1198">
        <f>IF(ISNUMBER(Datos!K23/Datos!J23),Datos!K23/Datos!J23," - ")</f>
        <v>0.98227474150664695</v>
      </c>
      <c r="BH23" s="1202">
        <f>IF(ISNUMBER(((Datos!L23/Datos!K23)*11)/factor_trimestre),((Datos!L23/Datos!K23)*11)/factor_trimestre," - ")</f>
        <v>5.0751879699248121</v>
      </c>
      <c r="BI23" s="1198">
        <f>SUBTOTAL(9,BI16:BI22)</f>
        <v>0.14285714285714285</v>
      </c>
      <c r="BJ23" s="1198">
        <f>SUBTOTAL(9,BJ16:BJ22)</f>
        <v>0</v>
      </c>
      <c r="BK23" s="1198">
        <f>SUBTOTAL(9,BK16:BK22)</f>
        <v>0</v>
      </c>
      <c r="BL23" s="1198">
        <f>IF(ISNUMBER((I23-AB23+L23)/(F23)),(I23-AB23+L23)/(F23)," - ")</f>
        <v>-0.61460258780036969</v>
      </c>
      <c r="BM23" s="1205">
        <f>IF(ISNUMBER((Datos!P23-Datos!Q23)/(Datos!R23-Datos!P23+Datos!Q23)),(Datos!P23-Datos!Q23)/(Datos!R23-Datos!P23+Datos!Q23)," - ")</f>
        <v>-0.24675324675324675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1082</v>
      </c>
      <c r="G31" s="1117">
        <f t="shared" si="18"/>
        <v>1359</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198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665</v>
      </c>
      <c r="AC31" s="1118">
        <f t="shared" si="19"/>
        <v>245</v>
      </c>
      <c r="AD31" s="1118">
        <f t="shared" si="19"/>
        <v>0</v>
      </c>
      <c r="AE31" s="1118">
        <f t="shared" si="19"/>
        <v>0</v>
      </c>
      <c r="AF31" s="1125">
        <f t="shared" si="19"/>
        <v>1125</v>
      </c>
      <c r="AG31" s="1125">
        <f t="shared" si="19"/>
        <v>0</v>
      </c>
      <c r="AH31" s="1125">
        <f t="shared" si="19"/>
        <v>18</v>
      </c>
      <c r="AI31" s="1125">
        <f t="shared" si="19"/>
        <v>0</v>
      </c>
      <c r="AJ31" s="1118">
        <f t="shared" si="19"/>
        <v>0</v>
      </c>
      <c r="AK31" s="1125">
        <f t="shared" si="19"/>
        <v>0</v>
      </c>
      <c r="AL31" s="1125">
        <f t="shared" si="19"/>
        <v>0</v>
      </c>
      <c r="AM31" s="1125">
        <f t="shared" si="19"/>
        <v>3156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189</v>
      </c>
      <c r="BD31" s="1117">
        <f t="shared" si="19"/>
        <v>593</v>
      </c>
      <c r="BE31" s="1117">
        <f t="shared" si="19"/>
        <v>0</v>
      </c>
      <c r="BF31" s="1127">
        <f t="shared" si="19"/>
        <v>0</v>
      </c>
      <c r="BG31" s="1223">
        <f>IF(ISNUMBER(Datos!K31/Datos!J31),Datos!K31/Datos!J31," - ")</f>
        <v>1.1105354058721935</v>
      </c>
      <c r="BH31" s="1223">
        <f>IF(ISNUMBER(((Datos!L31/Datos!K31)*11)/factor_trimestre),((Datos!L31/Datos!K31)*11)/factor_trimestre," - ")</f>
        <v>7.0357698289269051</v>
      </c>
      <c r="BI31" s="1103">
        <f>IF(ISNUMBER(Datos!J31/Datos!I31),Datos!J31/Datos!I31," - ")</f>
        <v>0.37524303305249512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-0.61460258780036969</v>
      </c>
      <c r="BM31" s="1188">
        <f>IF(ISNUMBER((Datos!P31-Datos!Q31+R31)/(Datos!R31-Datos!P31+Datos!Q31-R31)),(Datos!P31-Datos!Q31+R31)/(Datos!R31-Datos!P31+Datos!Q31-R31)," - ")</f>
        <v>-1.4673743365594755E-2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558.74239741285669</v>
      </c>
      <c r="G33" s="674">
        <f>IF(ISNUMBER(STDEV(G8:G30)),STDEV(G8:G30),"-")</f>
        <v>652.69510857819728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324.48677425538727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50.513788782300395</v>
      </c>
      <c r="BD33" s="673"/>
      <c r="BE33" s="673">
        <f>IF(ISNUMBER(STDEV(BE8:BE30)),STDEV(BE8:BE30),"-")</f>
        <v>0</v>
      </c>
      <c r="BF33" s="678">
        <f>IF(ISNUMBER(STDEV(BF8:BF30)),STDEV(BF8:BF30),"-")</f>
        <v>0</v>
      </c>
      <c r="BG33" s="1052">
        <f>IF(ISNUMBER(STDEV(BG8:BG30)),STDEV(BG8:BG30),"-")</f>
        <v>0.17214646973222186</v>
      </c>
      <c r="BH33" s="1058">
        <f>IF(ISNUMBER(STDEV(BH8:BH30)),STDEV(BH8:BH30),"-")</f>
        <v>2.2917483105934027</v>
      </c>
      <c r="BI33" s="273">
        <f>IF(ISNUMBER(STDEV(BI8:BI30)),STDEV(BI8:BI30),"-")</f>
        <v>8.8686677294873533E-4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GgqcN2BQQVYBo2lkYrgeBy2+yP0S7BRYQHYc4nyDuKTaX5kA1oB/pLTuObc+P2DcsxiyDZ1GJlGSAvQJjgPdA==" saltValue="WnfyVUYgoOsrZ3XXYvS2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 ROQUE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178</v>
      </c>
      <c r="AA12" s="551" t="str">
        <f>IF(ISNUMBER(IF(J_V="SI",Datos!L12,Datos!L12+Datos!AB12)-IF(Monitorios="SI",Datos!CD12,0)),
                          IF(J_V="SI",Datos!L12,Datos!L12+Datos!AB12)-IF(Monitorios="SI",Datos!CD12,0),
                          " - ")</f>
        <v xml:space="preserve"> - </v>
      </c>
      <c r="AB12" s="549"/>
      <c r="AC12" s="549"/>
      <c r="AD12" s="563"/>
      <c r="AE12" s="563">
        <f>IF(ISNUMBER(Datos!R12),Datos!R12," - ")</f>
        <v>3040</v>
      </c>
      <c r="AF12" s="693" t="str">
        <f>IF(ISNUMBER(Datos!BV12),Datos!BV12," - ")</f>
        <v xml:space="preserve"> - </v>
      </c>
      <c r="AG12" s="552" t="str">
        <f>IF(ISNUMBER(Datos!DV12),Datos!DV12," - ")</f>
        <v xml:space="preserve"> - </v>
      </c>
      <c r="AH12" s="553"/>
      <c r="AI12" s="554"/>
      <c r="AJ12" s="552">
        <f>IF(ISNUMBER(Datos!M12),Datos!M12," - ")</f>
        <v>94</v>
      </c>
      <c r="AK12" s="693">
        <f>IF(ISNUMBER(Datos!N12),Datos!N12," - ")</f>
        <v>199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8.7972350230414751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-2.9517874713020664E-3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178</v>
      </c>
      <c r="AA14" s="1199">
        <f t="shared" si="3"/>
        <v>0</v>
      </c>
      <c r="AB14" s="1199">
        <f t="shared" si="3"/>
        <v>0</v>
      </c>
      <c r="AC14" s="1199">
        <f t="shared" si="3"/>
        <v>0</v>
      </c>
      <c r="AD14" s="1199">
        <f t="shared" si="3"/>
        <v>0</v>
      </c>
      <c r="AE14" s="1199">
        <f t="shared" si="3"/>
        <v>3040</v>
      </c>
      <c r="AF14" s="1211">
        <f t="shared" si="3"/>
        <v>0</v>
      </c>
      <c r="AG14" s="1211">
        <f t="shared" si="3"/>
        <v>0</v>
      </c>
      <c r="AH14" s="1211">
        <f t="shared" si="3"/>
        <v>0</v>
      </c>
      <c r="AI14" s="1211">
        <f t="shared" si="3"/>
        <v>0</v>
      </c>
      <c r="AJ14" s="1211">
        <f t="shared" si="3"/>
        <v>94</v>
      </c>
      <c r="AK14" s="1211">
        <f t="shared" si="3"/>
        <v>199</v>
      </c>
      <c r="AL14" s="1211">
        <f t="shared" si="3"/>
        <v>0</v>
      </c>
      <c r="AM14" s="1211">
        <f t="shared" si="3"/>
        <v>0</v>
      </c>
      <c r="AN14" s="1211">
        <f t="shared" si="3"/>
        <v>0</v>
      </c>
      <c r="AO14" s="1203">
        <f>IF(ISNUMBER(((NºAsuntos!I14/NºAsuntos!G14)*11)/factor_trimestre),((NºAsuntos!I14/NºAsuntos!G14)*11)/factor_trimestre," - ")</f>
        <v>8.7972350230414751</v>
      </c>
      <c r="AP14" s="1213" t="str">
        <f>IF(ISNUMBER(Datos!CI14/Datos!CJ14),Datos!CI14/Datos!CJ14," - ")</f>
        <v xml:space="preserve"> - </v>
      </c>
      <c r="AQ14" s="1236">
        <f t="shared" ref="AQ14:AV14" si="4">SUBTOTAL(9,AQ9:AQ13)</f>
        <v>0</v>
      </c>
      <c r="AR14" s="1236">
        <f t="shared" si="4"/>
        <v>-2.9517874713020664E-3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1082</v>
      </c>
      <c r="G17" s="552">
        <f>IF(ISNUMBER(IF(D_I="SI",Datos!I17,Datos!I17+Datos!AC17)),IF(D_I="SI",Datos!I17,Datos!I17+Datos!AC17)," - ")</f>
        <v>1328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665</v>
      </c>
      <c r="Z17" s="805">
        <f>IF(ISNUMBER(Datos!Q17),Datos!Q17," - ")</f>
        <v>67</v>
      </c>
      <c r="AA17" s="551">
        <f>IF(ISNUMBER(IF(D_I="SI",Datos!L17,Datos!L17+Datos!AF17)),IF(D_I="SI",Datos!L17,Datos!L17+Datos!AF17)," - ")</f>
        <v>1094</v>
      </c>
      <c r="AB17" s="549"/>
      <c r="AC17" s="549"/>
      <c r="AD17" s="563"/>
      <c r="AE17" s="563">
        <f>IF(ISNUMBER(Datos!R17),Datos!R17," - ")</f>
        <v>112</v>
      </c>
      <c r="AF17" s="693" t="str">
        <f>IF(ISNUMBER(Datos!BV17),Datos!BV17," - ")</f>
        <v xml:space="preserve"> - </v>
      </c>
      <c r="AG17" s="552"/>
      <c r="AH17" s="553"/>
      <c r="AI17" s="554"/>
      <c r="AJ17" s="552">
        <f>IF(ISNUMBER(Datos!M17),Datos!M17," - ")</f>
        <v>95</v>
      </c>
      <c r="AK17" s="693">
        <f>IF(ISNUMBER(Datos!N17),Datos!N17," - ")</f>
        <v>394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4.935338345864662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31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1082</v>
      </c>
      <c r="G23" s="1197">
        <f>SUBTOTAL(9,G16:G22)</f>
        <v>1359</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665</v>
      </c>
      <c r="Z23" s="1240">
        <f t="shared" si="6"/>
        <v>67</v>
      </c>
      <c r="AA23" s="1240">
        <f t="shared" si="6"/>
        <v>1125</v>
      </c>
      <c r="AB23" s="1240">
        <f t="shared" si="6"/>
        <v>0</v>
      </c>
      <c r="AC23" s="1240">
        <f t="shared" si="6"/>
        <v>0</v>
      </c>
      <c r="AD23" s="1240">
        <f t="shared" si="6"/>
        <v>0</v>
      </c>
      <c r="AE23" s="1240">
        <f t="shared" si="6"/>
        <v>116</v>
      </c>
      <c r="AF23" s="1240">
        <f t="shared" si="6"/>
        <v>0</v>
      </c>
      <c r="AG23" s="1240">
        <f t="shared" si="6"/>
        <v>0</v>
      </c>
      <c r="AH23" s="1240">
        <f t="shared" si="6"/>
        <v>0</v>
      </c>
      <c r="AI23" s="1240">
        <f t="shared" si="6"/>
        <v>0</v>
      </c>
      <c r="AJ23" s="1240">
        <f t="shared" si="6"/>
        <v>95</v>
      </c>
      <c r="AK23" s="1240">
        <f t="shared" si="6"/>
        <v>394</v>
      </c>
      <c r="AL23" s="1240">
        <f t="shared" si="6"/>
        <v>0</v>
      </c>
      <c r="AM23" s="1240">
        <f t="shared" si="6"/>
        <v>0</v>
      </c>
      <c r="AN23" s="1240">
        <f t="shared" si="6"/>
        <v>0</v>
      </c>
      <c r="AO23" s="1242">
        <f>IF(ISNUMBER(((NºAsuntos!I23/NºAsuntos!G23)*11)/factor_trimestre),((NºAsuntos!I23/NºAsuntos!G23)*11)/factor_trimestre," - ")</f>
        <v>5.0751879699248121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1082</v>
      </c>
      <c r="G31" s="1117">
        <f t="shared" si="12"/>
        <v>1359</v>
      </c>
      <c r="H31" s="1118">
        <f t="shared" si="12"/>
        <v>0</v>
      </c>
      <c r="I31" s="1117">
        <f t="shared" si="12"/>
        <v>0</v>
      </c>
      <c r="J31" s="1119">
        <f t="shared" si="12"/>
        <v>0</v>
      </c>
      <c r="K31" s="1117">
        <f t="shared" si="12"/>
        <v>0</v>
      </c>
      <c r="L31" s="1120">
        <f t="shared" si="12"/>
        <v>0</v>
      </c>
      <c r="M31" s="1117">
        <f t="shared" si="12"/>
        <v>0</v>
      </c>
      <c r="N31" s="1118">
        <f t="shared" si="12"/>
        <v>198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665</v>
      </c>
      <c r="Z31" s="1124">
        <f t="shared" si="13"/>
        <v>245</v>
      </c>
      <c r="AA31" s="1125">
        <f t="shared" si="13"/>
        <v>1125</v>
      </c>
      <c r="AB31" s="1125">
        <f t="shared" si="13"/>
        <v>0</v>
      </c>
      <c r="AC31" s="1125">
        <f t="shared" si="13"/>
        <v>0</v>
      </c>
      <c r="AD31" s="1126">
        <f t="shared" si="13"/>
        <v>0</v>
      </c>
      <c r="AE31" s="1126">
        <f t="shared" si="13"/>
        <v>3156</v>
      </c>
      <c r="AF31" s="1127">
        <f t="shared" si="13"/>
        <v>0</v>
      </c>
      <c r="AG31" s="1128">
        <f t="shared" si="13"/>
        <v>0</v>
      </c>
      <c r="AH31" s="1129">
        <f t="shared" si="13"/>
        <v>0</v>
      </c>
      <c r="AI31" s="1127">
        <f t="shared" si="13"/>
        <v>0</v>
      </c>
      <c r="AJ31" s="1117">
        <f t="shared" si="13"/>
        <v>189</v>
      </c>
      <c r="AK31" s="1117">
        <f t="shared" si="13"/>
        <v>593</v>
      </c>
      <c r="AL31" s="1117">
        <f t="shared" si="13"/>
        <v>0</v>
      </c>
      <c r="AM31" s="1130">
        <f t="shared" si="13"/>
        <v>0</v>
      </c>
      <c r="AN31" s="1120">
        <f>IF(ISNUMBER(Datos!K31/Datos!J31),Datos!K31/Datos!J31," - ")</f>
        <v>1.1105354058721935</v>
      </c>
      <c r="AO31" s="1120">
        <f>IF(ISNUMBER(FIND("06",Criterios!A8,1)),(IF(ISNUMBER(((Datos!R31/Datos!Q31)*11)/factor_trimestre),((Datos!R31/Datos!Q31)*11)/factor_trimestre," - ")),(IF(ISNUMBER(((Datos!L31/Datos!K31)*11)/factor_trimestre),((Datos!L31/Datos!K31)*11)/factor_trimestre," - ")))</f>
        <v>7.0357698289269051</v>
      </c>
      <c r="AP31" s="1131" t="str">
        <f>IF(ISNUMBER(Datos!CI31/Datos!CJ31),Datos!CI31/Datos!CJ31," - ")</f>
        <v xml:space="preserve"> - </v>
      </c>
      <c r="AQ31" s="1131">
        <f>IF(OR(ISNUMBER(FIND("01",Criterios!A8,1)),ISNUMBER(FIND("02",Criterios!A8,1)),ISNUMBER(FIND("03",Criterios!A8,1)),ISNUMBER(FIND("04",Criterios!A8,1))),(J31-Y31+K31)/(F31-K31),(I31-Y31+K31)/(F31-K31))</f>
        <v>-0.61460258780036969</v>
      </c>
      <c r="AR31" s="1131">
        <f>IF(ISNUMBER((Datos!P31-Datos!Q31+O31)/(Datos!R31-Datos!P31+Datos!Q31-O31)),(Datos!P31-Datos!Q31+O31)/(Datos!R31-Datos!P31+Datos!Q31-O31)," - ")</f>
        <v>-1.4673743365594755E-2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558.74239741285669</v>
      </c>
      <c r="G33" s="674">
        <f>IF(ISNUMBER(STDEV(G8:G30)),STDEV(G8:G30),"-")</f>
        <v>652.69510857819728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50.513788782300395</v>
      </c>
      <c r="AK33" s="276"/>
      <c r="AL33" s="276">
        <f>IF(ISNUMBER(STDEV(AL8:AL30)),STDEV(AL8:AL30),"-")</f>
        <v>0</v>
      </c>
      <c r="AM33" s="278">
        <f>IF(ISNUMBER(STDEV(AM8:AM30)),STDEV(AM8:AM30),"-")</f>
        <v>0</v>
      </c>
      <c r="AN33" s="660">
        <f>IF(ISNUMBER(STDEV(AN8:AN30)),STDEV(AN8:AN30),"-")</f>
        <v>0</v>
      </c>
      <c r="AO33" s="661">
        <f>IF(ISNUMBER(STDEV(AO8:AO30)),STDEV(AO8:AO30),"-")</f>
        <v>2.1900403028817639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LZ0w81b3GeJuhulVDSJoxiGiRg+EcvIbdzWaT4mnzaXZ5w+ZVr6+cTeu86EYHFGCltyY9vIPOmVwppAEl1Vjg==" saltValue="efs76YW3Hwxxa7CwD8cf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Ae/6HebCgJSSRmf2DLKB9NyXd5DnVNW97zCzgjAxtRFraWFru8wfSx2c/emrGiHrnsK4AaDKh93ShK8kXjf6g==" saltValue="0Zs0/sQ+CcfC/HJF/dFf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80kfNCWRYpJ8atqjxRsh5T1qewoKfO4oSlQzU0L5Nxdl1/WTD9BfaQD9BoGbpMufBS2JYLbPBGntiHCApFEtQ==" saltValue="D322p1hm2nygJ3Ht0Srx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 ROQUE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0.14439324116743471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0.10210143998699764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Sc/JVYRx5pycjmm7X8ddXTxSfjfmfEOdUm1uaYCVzhE1w+eenj/gVPK/aS+SC7YPH2PcQEOfl1cOosauyiPsw==" saltValue="GvMT0ydkGCDWpQo+IxQO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RMQvhba90raQMwuet3be/wEyLPVWbCSnZszDA+a3CC8ys/RgxIeZliOCTF+K00CjSRF2jxF/nq6yZk/weP4/A==" saltValue="eJzV0GozJSBAPSjHzIgn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 ROQUE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1742</v>
      </c>
      <c r="D12" s="452">
        <f>IF(ISNUMBER(C12/Datos!BH12),C12/Datos!BH12," - ")</f>
        <v>580.66666666666663</v>
      </c>
      <c r="E12" s="451">
        <f>IF(ISNUMBER(IF(J_V="SI",Datos!J12,Datos!J12+Datos!Z12)),IF(J_V="SI",Datos!J12,Datos!J12+Datos!Z12)," - ")</f>
        <v>513</v>
      </c>
      <c r="F12" s="452">
        <f>IF(ISNUMBER(E12/B12),E12/B12," - ")</f>
        <v>171</v>
      </c>
      <c r="G12" s="451">
        <f>IF(ISNUMBER(IF(J_V="SI",Datos!K12,Datos!K12+Datos!AA12)),IF(J_V="SI",Datos!K12,Datos!K12+Datos!AA12)," - ")</f>
        <v>651</v>
      </c>
      <c r="H12" s="452">
        <f>IF(ISNUMBER(G12/B12),G12/B12," - ")</f>
        <v>217</v>
      </c>
      <c r="I12" s="451">
        <f>IF(ISNUMBER(IF(J_V="SI",Datos!L12,Datos!L12+Datos!AB12)),IF(J_V="SI",Datos!L12,Datos!L12+Datos!AB12)," - ")</f>
        <v>1909</v>
      </c>
      <c r="J12" s="452">
        <f>IF(ISNUMBER(I12/B12),I12/B12," - ")</f>
        <v>636.33333333333337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1742</v>
      </c>
      <c r="D14" s="1147" t="str">
        <f>IF(ISNUMBER(C14/Datos!BI14),C14/Datos!BI14," - ")</f>
        <v xml:space="preserve"> - </v>
      </c>
      <c r="E14" s="1146">
        <f>SUBTOTAL(9,E8:E13)</f>
        <v>513</v>
      </c>
      <c r="F14" s="1147">
        <f>IF(ISNUMBER(E14/B14),E14/B14," - ")</f>
        <v>171</v>
      </c>
      <c r="G14" s="1146">
        <f>SUBTOTAL(9,G8:G13)</f>
        <v>651</v>
      </c>
      <c r="H14" s="1147">
        <f>IF(ISNUMBER(G14/B14),G14/B14," - ")</f>
        <v>217</v>
      </c>
      <c r="I14" s="1146">
        <f>SUBTOTAL(9,I8:I13)</f>
        <v>1909</v>
      </c>
      <c r="J14" s="1147">
        <f>IF(ISNUMBER(I14/B14),I14/B14," - ")</f>
        <v>636.33333333333337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1328</v>
      </c>
      <c r="D17" s="452">
        <f>IF(ISNUMBER(C17/Datos!BH17),C17/Datos!BH17," - ")</f>
        <v>442.66666666666669</v>
      </c>
      <c r="E17" s="451">
        <f>IF(ISNUMBER(IF(D_I="SI",Datos!J17,Datos!J17+Datos!AD17)),IF(D_I="SI",Datos!J17,Datos!J17+Datos!AD17)," - ")</f>
        <v>677</v>
      </c>
      <c r="F17" s="452">
        <f>IF(ISNUMBER(E17/B17),E17/B17," - ")</f>
        <v>225.66666666666666</v>
      </c>
      <c r="G17" s="451">
        <f>IF(ISNUMBER(IF(D_I="SI",Datos!K17,Datos!K17+Datos!AE17)),IF(D_I="SI",Datos!K17,Datos!K17+Datos!AE17)," - ")</f>
        <v>665</v>
      </c>
      <c r="H17" s="452">
        <f>IF(ISNUMBER(G17/B17),G17/B17," - ")</f>
        <v>221.66666666666666</v>
      </c>
      <c r="I17" s="451">
        <f>IF(ISNUMBER(IF(D_I="SI",Datos!L17,Datos!L17+Datos!AF17)),IF(D_I="SI",Datos!L17,Datos!L17+Datos!AF17)," - ")</f>
        <v>1094</v>
      </c>
      <c r="J17" s="452">
        <f>IF(ISNUMBER(I17/B17),I17/B17," - ")</f>
        <v>364.66666666666669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1359</v>
      </c>
      <c r="D23" s="1147" t="str">
        <f>IF(ISNUMBER(C23/Datos!BI23),C23/Datos!BI23," - ")</f>
        <v xml:space="preserve"> - </v>
      </c>
      <c r="E23" s="1146">
        <f>SUBTOTAL(9,E15:E22)</f>
        <v>677</v>
      </c>
      <c r="F23" s="1147">
        <f>IF(ISNUMBER(E23/B23),E23/B23," - ")</f>
        <v>225.66666666666666</v>
      </c>
      <c r="G23" s="1146">
        <f>SUBTOTAL(9,G15:G22)</f>
        <v>665</v>
      </c>
      <c r="H23" s="1147">
        <f>IF(ISNUMBER(G23/B23),G23/B23," - ")</f>
        <v>221.66666666666666</v>
      </c>
      <c r="I23" s="1146">
        <f>SUBTOTAL(9,I15:I22)</f>
        <v>1125</v>
      </c>
      <c r="J23" s="1147">
        <f>IF(ISNUMBER(I23/B23),I23/B23," - ")</f>
        <v>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3101</v>
      </c>
      <c r="D31" s="1085" t="str">
        <f>IF(ISNUMBER(C31/Datos!BI31),C31/Datos!BI31," - ")</f>
        <v xml:space="preserve"> - </v>
      </c>
      <c r="E31" s="1084">
        <f>SUBTOTAL(9,E9:E30)</f>
        <v>1190</v>
      </c>
      <c r="F31" s="1085">
        <f>IF(ISNUMBER(E31/B31),E31/B31," - ")</f>
        <v>396.66666666666669</v>
      </c>
      <c r="G31" s="1084">
        <f>SUBTOTAL(9,G9:G30)</f>
        <v>1316</v>
      </c>
      <c r="H31" s="1085">
        <f>IF(ISNUMBER(G31/B31),G31/B31," - ")</f>
        <v>438.66666666666669</v>
      </c>
      <c r="I31" s="1084">
        <f>SUBTOTAL(9,I9:I30)</f>
        <v>3034</v>
      </c>
      <c r="J31" s="1085">
        <f>IF(ISNUMBER(I31/B31),I31/B31," - ")</f>
        <v>1011.3333333333334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P9aPWzMKYSHHM/74DHDIo+pz9J/+qMXniCLSADrplTJ1mftYScp1Ytx/egDCf6KYlPeBN+CF3hX6wBBO6s4fg==" saltValue="Tyx5G+ytI/M2ZOcJ8Fz4K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 ROQUE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199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8.7972350230414751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-2.9517874713020664E-3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178</v>
      </c>
      <c r="AE14" s="1257">
        <f t="shared" si="1"/>
        <v>0</v>
      </c>
      <c r="AF14" s="1257">
        <f t="shared" si="1"/>
        <v>0</v>
      </c>
      <c r="AG14" s="1257">
        <f t="shared" si="1"/>
        <v>0</v>
      </c>
      <c r="AH14" s="1257">
        <f t="shared" si="1"/>
        <v>3040</v>
      </c>
      <c r="AI14" s="1257">
        <f t="shared" si="1"/>
        <v>0</v>
      </c>
      <c r="AJ14" s="1257">
        <f t="shared" si="1"/>
        <v>0</v>
      </c>
      <c r="AK14" s="1257">
        <f t="shared" si="1"/>
        <v>0</v>
      </c>
      <c r="AL14" s="1257">
        <f t="shared" si="1"/>
        <v>94</v>
      </c>
      <c r="AM14" s="1257">
        <f t="shared" si="1"/>
        <v>199</v>
      </c>
      <c r="AN14" s="1257">
        <f t="shared" si="1"/>
        <v>0</v>
      </c>
      <c r="AO14" s="1257">
        <f t="shared" si="1"/>
        <v>0</v>
      </c>
      <c r="AP14" s="1262">
        <f>IF(ISNUMBER(((Datos!L14/Datos!K14)*11)/factor_trimestre),((Datos!L14/Datos!K14)*11)/factor_trimestre," - ")</f>
        <v>9.1352657004830924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-2.9517874713020664E-3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5.0751879699248121</v>
      </c>
      <c r="AQ23" s="1262">
        <f>IF(ISNUMBER(((Datos!M23/Datos!L23)*11)/factor_trimestre),((Datos!M23/Datos!L23)*11)/factor_trimestre," - ")</f>
        <v>0.25333333333333335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-0.24675324675324675</v>
      </c>
      <c r="AW23" s="1265">
        <f>IF(ISNUMBER((Datos!Q23-Datos!R23)/(Datos!S23-Datos!Q23+Datos!R23)),(Datos!Q23-Datos!R23)/(Datos!S23-Datos!Q23+Datos!R23)," - ")</f>
        <v>-2.3591718825228696E-2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178</v>
      </c>
      <c r="AE31" s="1284">
        <f t="shared" si="9"/>
        <v>0</v>
      </c>
      <c r="AF31" s="1285">
        <f t="shared" si="9"/>
        <v>0</v>
      </c>
      <c r="AG31" s="1285">
        <f t="shared" si="9"/>
        <v>0</v>
      </c>
      <c r="AH31" s="1285">
        <f t="shared" si="9"/>
        <v>3040</v>
      </c>
      <c r="AI31" s="1285">
        <f t="shared" si="9"/>
        <v>0</v>
      </c>
      <c r="AJ31" s="1286">
        <f t="shared" si="9"/>
        <v>0</v>
      </c>
      <c r="AK31" s="1286">
        <f t="shared" si="9"/>
        <v>0</v>
      </c>
      <c r="AL31" s="1278">
        <f t="shared" si="9"/>
        <v>94</v>
      </c>
      <c r="AM31" s="1278">
        <f t="shared" si="9"/>
        <v>199</v>
      </c>
      <c r="AN31" s="1278">
        <f t="shared" si="9"/>
        <v>0</v>
      </c>
      <c r="AO31" s="1278">
        <f t="shared" si="9"/>
        <v>0</v>
      </c>
      <c r="AP31" s="1278">
        <f>IF(ISNUMBER(((Datos!L31/Datos!K31)*11)/factor_trimestre),((Datos!L31/Datos!K31)*11)/factor_trimestre," - ")</f>
        <v>7.0357698289269051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-1.4673743365594755E-2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48.541391272466292</v>
      </c>
      <c r="AM33" s="1006"/>
      <c r="AN33" s="1006">
        <f>IF(ISNUMBER(STDEV(AN8:AN30)),STDEV(AN8:AN30),"-")</f>
        <v>0</v>
      </c>
      <c r="AO33" s="1012">
        <f>IF(ISNUMBER(STDEV(AO8:AO30)),STDEV(AO8:AO30),"-")</f>
        <v>0</v>
      </c>
      <c r="AP33" s="1065">
        <f>IF(ISNUMBER(STDEV(AP8:AP30)),STDEV(AP8:AP30),"-")</f>
        <v>2.2528548622685141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faSpymqUhIAtS5PKQOkYJuS7ABolY4RpzWeua662BUu2FSJkuNCqZj7Lo5QDrG2IXP1iaAg+17kskABCUifEw==" saltValue="BvhtDlSJr6DAYfoYC3NB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 ROQUE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mHoZvp/x0Eth2ER4FFnW8YG2oEdfg7AAnQHRZTJJ7aJNpzr47hUbgLaw8MYEN3W6GNxv5Z5LLLRgDaMSjXwFg==" saltValue="ijJiqAAunZZeR+6ffKB8/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 ROQUE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94</v>
      </c>
      <c r="E12" s="452">
        <f t="shared" si="0"/>
        <v>31.333333333333332</v>
      </c>
      <c r="F12" s="451">
        <f>IF(ISNUMBER(Datos!N12),Datos!N12," - ")</f>
        <v>199</v>
      </c>
      <c r="G12" s="452">
        <f t="shared" si="1"/>
        <v>66.333333333333329</v>
      </c>
      <c r="H12" s="451">
        <f>IF(ISNUMBER(Datos!O12),Datos!O12," - ")</f>
        <v>398</v>
      </c>
      <c r="I12" s="452">
        <f t="shared" si="2"/>
        <v>132.66666666666666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94</v>
      </c>
      <c r="E14" s="1147">
        <f t="shared" si="0"/>
        <v>23.5</v>
      </c>
      <c r="F14" s="1146">
        <f>SUBTOTAL(9,F9:F13)</f>
        <v>199</v>
      </c>
      <c r="G14" s="1147">
        <f t="shared" si="1"/>
        <v>49.75</v>
      </c>
      <c r="H14" s="1146">
        <f>SUBTOTAL(9,H9:H13)</f>
        <v>398</v>
      </c>
      <c r="I14" s="1147">
        <f>IF(ISNUMBER(H14/B14),H14/B14," - ")</f>
        <v>99.5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95</v>
      </c>
      <c r="E17" s="452">
        <f t="shared" si="3"/>
        <v>31.666666666666668</v>
      </c>
      <c r="F17" s="451">
        <f>IF(ISNUMBER(Datos!N17),Datos!N17," - ")</f>
        <v>394</v>
      </c>
      <c r="G17" s="452">
        <f t="shared" si="4"/>
        <v>131.33333333333334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95</v>
      </c>
      <c r="E23" s="1147">
        <f t="shared" si="3"/>
        <v>23.75</v>
      </c>
      <c r="F23" s="1146">
        <f>SUBTOTAL(9,F16:F22)</f>
        <v>394</v>
      </c>
      <c r="G23" s="1147">
        <f t="shared" si="4"/>
        <v>98.5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189</v>
      </c>
      <c r="E31" s="1085">
        <f>IF(ISNUMBER(D31/B31),D31/B31," - ")</f>
        <v>63</v>
      </c>
      <c r="F31" s="1084">
        <f>SUBTOTAL(9,F8:F30)</f>
        <v>593</v>
      </c>
      <c r="G31" s="1085">
        <f>IF(ISNUMBER(F31/B31),F31/B31," - ")</f>
        <v>197.66666666666666</v>
      </c>
      <c r="H31" s="1084">
        <f>SUBTOTAL(9,H8:H30)</f>
        <v>398</v>
      </c>
      <c r="I31" s="1085">
        <f>IF(ISNUMBER(H31/B31),H31/B31," - ")</f>
        <v>132.66666666666666</v>
      </c>
    </row>
    <row r="34" spans="1:1">
      <c r="A34" s="439" t="str">
        <f>Criterios!A4</f>
        <v>Fecha Informe: 06 may. 2023</v>
      </c>
    </row>
    <row r="39" spans="1:1">
      <c r="A39" s="462"/>
    </row>
  </sheetData>
  <sheetProtection algorithmName="SHA-512" hashValue="mZ96BrdOe/RbQBrRmBXKJScOcqJYy5FWpp5bEow5J9xvy00bdiVPrjEw/07khjMx9bzAQUsnoOMmHrDZ14s6TQ==" saltValue="e1p2K4NZGil0f6HUdYjL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 ROQUE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169</v>
      </c>
      <c r="C12" s="489">
        <f>IF(ISNUMBER(Datos!Q12),Datos!Q12," - ")</f>
        <v>178</v>
      </c>
      <c r="D12" s="456">
        <f>IF(ISNUMBER(Datos!R12),Datos!R12," - ")</f>
        <v>3040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169</v>
      </c>
      <c r="C14" s="1150">
        <f>SUBTOTAL(9,C9:C13)</f>
        <v>178</v>
      </c>
      <c r="D14" s="1148">
        <f>SUBTOTAL(9,D9:D13)</f>
        <v>3040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67</v>
      </c>
      <c r="D17" s="456">
        <f>IF(ISNUMBER(Datos!R17),Datos!R17," - ")</f>
        <v>112</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67</v>
      </c>
      <c r="D23" s="1148">
        <f>SUBTOTAL(9,D16:D22)</f>
        <v>116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198</v>
      </c>
      <c r="C31" s="1089">
        <f>SUBTOTAL(9,C8:C30)</f>
        <v>245</v>
      </c>
      <c r="D31" s="1090">
        <f>SUBTOTAL(9,D8:D30)</f>
        <v>3156</v>
      </c>
    </row>
    <row r="32" spans="1:4" ht="7.5" customHeight="1"/>
    <row r="33" spans="1:1" ht="6" customHeight="1"/>
    <row r="34" spans="1:1">
      <c r="A34" s="439" t="str">
        <f>Criterios!A4</f>
        <v>Fecha Informe: 06 may. 2023</v>
      </c>
    </row>
    <row r="39" spans="1:1">
      <c r="A39" s="462"/>
    </row>
  </sheetData>
  <sheetProtection algorithmName="SHA-512" hashValue="LXNPZd+T/6OUdRgMWCCjHrL6HBEkhhTLsDs72ibkEdNIHIrp6rd/5PgTh0dy19Zq6RKXaHDOVEgSha5yBJDXXg==" saltValue="XYWDgxymElXu88A8Mdfh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 ROQUE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-0.13932806324110672</v>
      </c>
      <c r="C12" s="515">
        <f>IF(ISNUMBER(
   IF(J_V="SI",(Datos!J12-Datos!T12)/Datos!T12,(Datos!J12+Datos!Z12-(Datos!T12+Datos!AH12))/(Datos!T12+Datos!AH12))
     ),IF(J_V="SI",(Datos!J12-Datos!T12)/Datos!T12,(Datos!J12+Datos!Z12-(Datos!T12+Datos!AH12))/(Datos!T12+Datos!AH12))," - ")</f>
        <v>0.19580419580419581</v>
      </c>
      <c r="D12" s="515">
        <f>IF(ISNUMBER(
   IF(J_V="SI",(Datos!K12-Datos!U12)/Datos!U12,(Datos!K12+Datos!AA12-(Datos!U12+Datos!AI12))/(Datos!U12+Datos!AI12))
     ),IF(J_V="SI",(Datos!K12-Datos!U12)/Datos!U12,(Datos!K12+Datos!AA12-(Datos!U12+Datos!AI12))/(Datos!U12+Datos!AI12))," - ")</f>
        <v>0.29166666666666669</v>
      </c>
      <c r="E12" s="515">
        <f>IF(ISNUMBER(
   IF(J_V="SI",(Datos!L12-Datos!V12)/Datos!V12,(Datos!L12+Datos!AB12-(Datos!V12+Datos!AJ12))/(Datos!V12+Datos!AJ12))
     ),IF(J_V="SI",(Datos!L12-Datos!V12)/Datos!V12,(Datos!L12+Datos!AB12-(Datos!V12+Datos!AJ12))/(Datos!V12+Datos!AJ12))," - ")</f>
        <v>-2.5523226135783564E-2</v>
      </c>
      <c r="F12" s="515">
        <f>IF(ISNUMBER((Datos!M12-Datos!W12)/Datos!W12),(Datos!M12-Datos!W12)/Datos!W12," - ")</f>
        <v>-4.0816326530612242E-2</v>
      </c>
      <c r="G12" s="516">
        <f>IF(ISNUMBER((Datos!N12-Datos!X12)/Datos!X12),(Datos!N12-Datos!X12)/Datos!X12," - ")</f>
        <v>0.64462809917355368</v>
      </c>
      <c r="H12" s="514">
        <f>IF(ISNUMBER(((NºAsuntos!G12/NºAsuntos!E12)-Datos!BD12)/Datos!BD12),((NºAsuntos!G12/NºAsuntos!E12)-Datos!BD12)/Datos!BD12," - ")</f>
        <v>8.0165692007797384E-2</v>
      </c>
      <c r="I12" s="515">
        <f>IF(ISNUMBER(((NºAsuntos!I12/NºAsuntos!G12)-Datos!BE12)/Datos!BE12),((NºAsuntos!I12/NºAsuntos!G12)-Datos!BE12)/Datos!BE12," - ")</f>
        <v>-0.24556636862125178</v>
      </c>
      <c r="J12" s="521">
        <f>IF(ISNUMBER((('Resol  Asuntos'!D12/NºAsuntos!G12)-Datos!BF12)/Datos!BF12),(('Resol  Asuntos'!D12/NºAsuntos!G12)-Datos!BF12)/Datos!BF12," - ")</f>
        <v>-0.39856038389762732</v>
      </c>
      <c r="K12" s="522">
        <f>IF(ISNUMBER((((NºAsuntos!C12+NºAsuntos!E12)/NºAsuntos!G12)-Datos!BG12)/Datos!BG12),(((NºAsuntos!C12+NºAsuntos!E12)/NºAsuntos!G12)-Datos!BG12)/Datos!BG12," - ")</f>
        <v>-0.28829741067553888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-0.140177690029615</v>
      </c>
      <c r="C14" s="1152">
        <f>IF(ISNUMBER(
   IF(J_V="SI",(Datos!J14-Datos!T14)/Datos!T14,(Datos!J14+Datos!Z14-(Datos!T14+Datos!AH14))/(Datos!T14+Datos!AH14))
     ),IF(J_V="SI",(Datos!J14-Datos!T14)/Datos!T14,(Datos!J14+Datos!Z14-(Datos!T14+Datos!AH14))/(Datos!T14+Datos!AH14))," - ")</f>
        <v>0.19580419580419581</v>
      </c>
      <c r="D14" s="1152">
        <f>IF(ISNUMBER(
   IF(J_V="SI",(Datos!K14-Datos!U14)/Datos!U14,(Datos!K14+Datos!AA14-(Datos!U14+Datos!AI14))/(Datos!U14+Datos!AI14))
     ),IF(J_V="SI",(Datos!K14-Datos!U14)/Datos!U14,(Datos!K14+Datos!AA14-(Datos!U14+Datos!AI14))/(Datos!U14+Datos!AI14))," - ")</f>
        <v>0.29166666666666669</v>
      </c>
      <c r="E14" s="1152">
        <f>IF(ISNUMBER(
   IF(J_V="SI",(Datos!L14-Datos!V14)/Datos!V14,(Datos!L14+Datos!AB14-(Datos!V14+Datos!AJ14))/(Datos!V14+Datos!AJ14))
     ),IF(J_V="SI",(Datos!L14-Datos!V14)/Datos!V14,(Datos!L14+Datos!AB14-(Datos!V14+Datos!AJ14))/(Datos!V14+Datos!AJ14))," - ")</f>
        <v>-2.6517083120856707E-2</v>
      </c>
      <c r="F14" s="1153">
        <f>IF(ISNUMBER((Datos!M14-Datos!W14)/Datos!W14),(Datos!M14-Datos!W14)/Datos!W14," - ")</f>
        <v>-4.0816326530612242E-2</v>
      </c>
      <c r="G14" s="1154">
        <f>IF(ISNUMBER((Datos!N14-Datos!X14)/Datos!X14),(Datos!N14-Datos!X14)/Datos!X14," - ")</f>
        <v>0.64462809917355368</v>
      </c>
      <c r="H14" s="1154">
        <f>IF(ISNUMBER(((NºAsuntos!G14/NºAsuntos!E14)-Datos!BD14)/Datos!BD14),((NºAsuntos!G14/NºAsuntos!E14)-Datos!BD14)/Datos!BD14," - ")</f>
        <v>8.0165692007797384E-2</v>
      </c>
      <c r="I14" s="1154">
        <f>IF(ISNUMBER(((NºAsuntos!I14/NºAsuntos!G14)-Datos!BE14)/Datos!BE14),((NºAsuntos!I14/NºAsuntos!G14)-Datos!BE14)/Datos!BE14," - ")</f>
        <v>-0.24633580628711485</v>
      </c>
      <c r="J14" s="1154">
        <f>IF(ISNUMBER((('Resol  Asuntos'!D14/NºAsuntos!G14)-Datos!BF14)/Datos!BF14),(('Resol  Asuntos'!D14/NºAsuntos!G14)-Datos!BF14)/Datos!BF14," - ")</f>
        <v>-0.39856038389762732</v>
      </c>
      <c r="K14" s="1154">
        <f>IF(ISNUMBER((((NºAsuntos!C14+NºAsuntos!E14)/NºAsuntos!G14)-Datos!BG14)/Datos!BG14),(((NºAsuntos!C14+NºAsuntos!E14)/NºAsuntos!G14)-Datos!BG14)/Datos!BG14," - ")</f>
        <v>-0.2888772091189804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-0.3303076147251639</v>
      </c>
      <c r="C17" s="515">
        <f>IF(ISNUMBER(
   IF(D_I="SI",(Datos!J17-Datos!T17)/Datos!T17,(Datos!J17+Datos!AD17-(Datos!T17+Datos!AL17))/(Datos!T17+Datos!AL17))
     ),IF(D_I="SI",(Datos!J17-Datos!T17)/Datos!T17,(Datos!J17+Datos!AD17-(Datos!T17+Datos!AL17))/(Datos!T17+Datos!AL17))," - ")</f>
        <v>-9.8535286284953394E-2</v>
      </c>
      <c r="D17" s="515">
        <f>IF(ISNUMBER(
   IF(D_I="SI",(Datos!K17-Datos!U17)/Datos!U17,(Datos!K17+Datos!AE17-(Datos!U17+Datos!AM17))/(Datos!U17+Datos!AM17))
     ),IF(D_I="SI",(Datos!K17-Datos!U17)/Datos!U17,(Datos!K17+Datos!AE17-(Datos!U17+Datos!AM17))/(Datos!U17+Datos!AM17))," - ")</f>
        <v>7.605177993527508E-2</v>
      </c>
      <c r="E17" s="515">
        <f>IF(ISNUMBER(
   IF(D_I="SI",(Datos!L17-Datos!V17)/Datos!V17,(Datos!L17+Datos!AF17-(Datos!V17+Datos!AN17))/(Datos!V17+Datos!AN17))
     ),IF(D_I="SI",(Datos!L17-Datos!V17)/Datos!V17,(Datos!L17+Datos!AF17-(Datos!V17+Datos!AN17))/(Datos!V17+Datos!AN17))," - ")</f>
        <v>-0.48298676748582231</v>
      </c>
      <c r="F17" s="515">
        <f>IF(ISNUMBER((Datos!M17-Datos!W17)/Datos!W17),(Datos!M17-Datos!W17)/Datos!W17," - ")</f>
        <v>-0.12037037037037036</v>
      </c>
      <c r="G17" s="516">
        <f>IF(ISNUMBER((Datos!N17-Datos!X17)/Datos!X17),(Datos!N17-Datos!X17)/Datos!X17," - ")</f>
        <v>-1.0050251256281407E-2</v>
      </c>
      <c r="H17" s="514">
        <f>IF(ISNUMBER(((NºAsuntos!G17/NºAsuntos!E17)-Datos!BD17)/Datos!BD17),((NºAsuntos!G17/NºAsuntos!E17)-Datos!BD17)/Datos!BD17," - ")</f>
        <v>0.19367043830338482</v>
      </c>
      <c r="I17" s="515">
        <f>IF(ISNUMBER(((NºAsuntos!I17/NºAsuntos!G17)-Datos!BE17)/Datos!BE17),((NºAsuntos!I17/NºAsuntos!G17)-Datos!BE17)/Datos!BE17," - ")</f>
        <v>-0.51952755234020775</v>
      </c>
      <c r="J17" s="521">
        <f>IF(ISNUMBER((('Resol  Asuntos'!D17/NºAsuntos!G17)-Datos!BF17)/Datos!BF17),(('Resol  Asuntos'!D17/NºAsuntos!G17)-Datos!BF17)/Datos!BF17," - ")</f>
        <v>-0.18253968253968261</v>
      </c>
      <c r="K17" s="522">
        <f>IF(ISNUMBER((((NºAsuntos!C17+NºAsuntos!E17)/NºAsuntos!G17)-Datos!BG17)/Datos!BG17),(((NºAsuntos!C17+NºAsuntos!E17)/NºAsuntos!G17)-Datos!BG17)/Datos!BG17," - ")</f>
        <v>-0.31847357970639839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-0.31111111111111112</v>
      </c>
      <c r="C18" s="515" t="str">
        <f>IF(ISNUMBER(
   IF(D_I="SI",(Datos!J18-Datos!T18)/Datos!T18,(Datos!J18+Datos!AD18-(Datos!T18+Datos!AL18))/(Datos!T18+Datos!AL18))
     ),IF(D_I="SI",(Datos!J18-Datos!T18)/Datos!T18,(Datos!J18+Datos!AD18-(Datos!T18+Datos!AL18))/(Datos!T18+Datos!AL18))," - ")</f>
        <v xml:space="preserve"> - </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-0.31111111111111112</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-0.32988165680473375</v>
      </c>
      <c r="C23" s="1152">
        <f>IF(ISNUMBER(
   IF(Criterios!B14="SI",(Datos!J23-Datos!T23)/Datos!T23,(Datos!J23+Datos!AD23-(Datos!T23+Datos!AL23))/(Datos!T23+Datos!AL23))
     ),IF(Criterios!B14="SI",(Datos!J23-Datos!T23)/Datos!T23,(Datos!J23+Datos!AD23-(Datos!T23+Datos!AL23))/(Datos!T23+Datos!AL23))," - ")</f>
        <v>-9.8535286284953394E-2</v>
      </c>
      <c r="D23" s="1152">
        <f>IF(ISNUMBER(
   IF(Criterios!B14="SI",(Datos!K23-Datos!U23)/Datos!U23,(Datos!K23+Datos!AE23-(Datos!U23+Datos!AM23))/(Datos!U23+Datos!AM23))
     ),IF(Criterios!B14="SI",(Datos!K23-Datos!U23)/Datos!U23,(Datos!K23+Datos!AE23-(Datos!U23+Datos!AM23))/(Datos!U23+Datos!AM23))," - ")</f>
        <v>7.605177993527508E-2</v>
      </c>
      <c r="E23" s="1152">
        <f>IF(ISNUMBER(
   IF(Criterios!B14="SI",(Datos!L23-Datos!V23)/Datos!V23,(Datos!L23+Datos!AF23-(Datos!V23+Datos!AN23))/(Datos!V23+Datos!AN23))
     ),IF(Criterios!B14="SI",(Datos!L23-Datos!V23)/Datos!V23,(Datos!L23+Datos!AF23-(Datos!V23+Datos!AN23))/(Datos!V23+Datos!AN23))," - ")</f>
        <v>-0.47940768162887554</v>
      </c>
      <c r="F23" s="1153">
        <f>IF(ISNUMBER((Datos!M23-Datos!W23)/Datos!W23),(Datos!M23-Datos!W23)/Datos!W23," - ")</f>
        <v>-0.12037037037037036</v>
      </c>
      <c r="G23" s="1154">
        <f>IF(ISNUMBER((Datos!N23-Datos!X23)/Datos!X23),(Datos!N23-Datos!X23)/Datos!X23," - ")</f>
        <v>-1.0050251256281407E-2</v>
      </c>
      <c r="H23" s="1154">
        <f>IF(ISNUMBER(((NºAsuntos!G23/NºAsuntos!E23)-Datos!BD23)/Datos!BD23),((NºAsuntos!G23/NºAsuntos!E23)-Datos!BD23)/Datos!BD23," - ")</f>
        <v>0.19367043830338482</v>
      </c>
      <c r="I23" s="1154">
        <f>IF(ISNUMBER(((NºAsuntos!I23/NºAsuntos!G23)-Datos!BE23)/Datos!BE23),((NºAsuntos!I23/NºAsuntos!G23)-Datos!BE23)/Datos!BE23," - ")</f>
        <v>-0.51620142443104522</v>
      </c>
      <c r="J23" s="1154">
        <f>IF(ISNUMBER((('Resol  Asuntos'!D23/NºAsuntos!G23)-Datos!BF23)/Datos!BF23),(('Resol  Asuntos'!D23/NºAsuntos!G23)-Datos!BF23)/Datos!BF23," - ")</f>
        <v>-0.18253968253968261</v>
      </c>
      <c r="K23" s="1154">
        <f>IF(ISNUMBER((((NºAsuntos!C23+NºAsuntos!E23)/NºAsuntos!G23)-Datos!BG23)/Datos!BG23),(((NºAsuntos!C23+NºAsuntos!E23)/NºAsuntos!G23)-Datos!BG23)/Datos!BG23," - ")</f>
        <v>-0.3191427651532574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-0.23507646768623583</v>
      </c>
      <c r="C31" s="1092">
        <f>IF(ISNUMBER(
   IF(J_V="SI",(Datos!J31-Datos!T31)/Datos!T31,(Datos!J31+Datos!Z31-(Datos!T31+Datos!AH31))/(Datos!T31+Datos!AH31))
     ),IF(J_V="SI",(Datos!J31-Datos!T31)/Datos!T31,(Datos!J31+Datos!Z31-(Datos!T31+Datos!AH31))/(Datos!T31+Datos!AH31))," - ")</f>
        <v>8.4745762711864406E-3</v>
      </c>
      <c r="D31" s="1092">
        <f>IF(ISNUMBER(
   IF(J_V="SI",(Datos!K31-Datos!U31)/Datos!U31,(Datos!K31+Datos!AA31-(Datos!U31+Datos!AI31))/(Datos!U31+Datos!AI31))
     ),IF(J_V="SI",(Datos!K31-Datos!U31)/Datos!U31,(Datos!K31+Datos!AA31-(Datos!U31+Datos!AI31))/(Datos!U31+Datos!AI31))," - ")</f>
        <v>0.17290552584670232</v>
      </c>
      <c r="E31" s="1092">
        <f>IF(ISNUMBER(
   IF(J_V="SI",(Datos!L31-Datos!V31)/Datos!V31,(Datos!L31+Datos!AB31-(Datos!V31+Datos!AJ31))/(Datos!V31+Datos!AJ31))
     ),IF(J_V="SI",(Datos!L31-Datos!V31)/Datos!V31,(Datos!L31+Datos!AB31-(Datos!V31+Datos!AJ31))/(Datos!V31+Datos!AJ31))," - ")</f>
        <v>-0.26394953905870938</v>
      </c>
      <c r="F31" s="1093">
        <f>IF(ISNUMBER((Datos!M31-Datos!W31)/Datos!W31),(Datos!M31-Datos!W31)/Datos!W31," - ")</f>
        <v>-8.2524271844660199E-2</v>
      </c>
      <c r="G31" s="1094">
        <f>IF(ISNUMBER((Datos!N31-Datos!X31)/Datos!X31),(Datos!N31-Datos!X31)/Datos!X31," - ")</f>
        <v>0.14258188824662812</v>
      </c>
      <c r="H31" s="1095">
        <f>IF(ISNUMBER((Tasas!B31-Datos!BD31)/Datos!BD31),(Tasas!B31-Datos!BD31)/Datos!BD31," - ")</f>
        <v>0.16304917689000742</v>
      </c>
      <c r="I31" s="1096">
        <f>IF(ISNUMBER((Tasas!C31-Datos!BE31)/Datos!BE31),(Tasas!C31-Datos!BE31)/Datos!BE31," - ")</f>
        <v>-0.37245545807285102</v>
      </c>
      <c r="J31" s="1097">
        <f>IF(ISNUMBER((Tasas!D31-Datos!BF31)/Datos!BF31),(Tasas!D31-Datos!BF31)/Datos!BF31," - ")</f>
        <v>-0.29633931060113344</v>
      </c>
      <c r="K31" s="1097">
        <f>IF(ISNUMBER((Tasas!E31-Datos!BG31)/Datos!BG31),(Tasas!E31-Datos!BG31)/Datos!BG31," - ")</f>
        <v>-0.30102480507971613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KhKngwPaPzBHEgVuSbSWZUuKz0yn7ZQKhIMr0yFQW3w+EpySJIxb4/llD5U+/UHZ0HQvN4ET6q4mfZcdElezA==" saltValue="VzfuX4Ks9f5sQoJpt9BH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 ROQUE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1.2690058479532165</v>
      </c>
      <c r="C12" s="498">
        <f>IF(ISNUMBER(NºAsuntos!I12/NºAsuntos!G12),NºAsuntos!I12/NºAsuntos!G12," - ")</f>
        <v>2.9324116743471582</v>
      </c>
      <c r="D12" s="499">
        <f>IF(ISNUMBER('Resol  Asuntos'!D12/NºAsuntos!G12),'Resol  Asuntos'!D12/NºAsuntos!G12," - ")</f>
        <v>0.14439324116743471</v>
      </c>
      <c r="E12" s="500">
        <f>IF(ISNUMBER((NºAsuntos!C12+NºAsuntos!E12)/NºAsuntos!G12),(NºAsuntos!C12+NºAsuntos!E12)/NºAsuntos!G12," - ")</f>
        <v>3.4639016897081412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1.2690058479532165</v>
      </c>
      <c r="C14" s="1156">
        <f>IF(ISNUMBER(NºAsuntos!I14/NºAsuntos!G14),NºAsuntos!I14/NºAsuntos!G14," - ")</f>
        <v>2.9324116743471582</v>
      </c>
      <c r="D14" s="1157">
        <f>IF(ISNUMBER('Resol  Asuntos'!D14/NºAsuntos!G14),'Resol  Asuntos'!D14/NºAsuntos!G14," - ")</f>
        <v>0.14439324116743471</v>
      </c>
      <c r="E14" s="1158">
        <f>IF(ISNUMBER((NºAsuntos!C14+NºAsuntos!E14)/NºAsuntos!G14),(NºAsuntos!C14+NºAsuntos!E14)/NºAsuntos!G14," - ")</f>
        <v>3.4639016897081412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0.98227474150664695</v>
      </c>
      <c r="C17" s="498">
        <f>IF(ISNUMBER(NºAsuntos!I17/NºAsuntos!G17),NºAsuntos!I17/NºAsuntos!G17," - ")</f>
        <v>1.6451127819548872</v>
      </c>
      <c r="D17" s="499">
        <f>IF(ISNUMBER('Resol  Asuntos'!D17/NºAsuntos!G17),'Resol  Asuntos'!D17/NºAsuntos!G17," - ")</f>
        <v>0.14285714285714285</v>
      </c>
      <c r="E17" s="500">
        <f>IF(ISNUMBER((NºAsuntos!C17+NºAsuntos!E17)/NºAsuntos!G17),(NºAsuntos!C17+NºAsuntos!E17)/NºAsuntos!G17," - ")</f>
        <v>3.0150375939849625</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0.98227474150664695</v>
      </c>
      <c r="C23" s="1156">
        <f>IF(ISNUMBER(NºAsuntos!I23/NºAsuntos!G23),NºAsuntos!I23/NºAsuntos!G23," - ")</f>
        <v>1.6917293233082706</v>
      </c>
      <c r="D23" s="1159">
        <f>IF(ISNUMBER('Resol  Asuntos'!D23/NºAsuntos!G23),'Resol  Asuntos'!D23/NºAsuntos!G23," - ")</f>
        <v>0.14285714285714285</v>
      </c>
      <c r="E23" s="1158">
        <f>IF(ISNUMBER((NºAsuntos!C23+NºAsuntos!E23)/NºAsuntos!G23),(NºAsuntos!C23+NºAsuntos!E23)/NºAsuntos!G23," - ")</f>
        <v>3.0616541353383457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1.1058823529411765</v>
      </c>
      <c r="C31" s="1099">
        <f>IF(ISNUMBER(NºAsuntos!I31/NºAsuntos!G31),NºAsuntos!I31/NºAsuntos!G31," - ")</f>
        <v>2.3054711246200608</v>
      </c>
      <c r="D31" s="1100">
        <f>IF(ISNUMBER('Resol  Asuntos'!D31/NºAsuntos!G31),'Resol  Asuntos'!D31/NºAsuntos!G31," - ")</f>
        <v>0.14361702127659576</v>
      </c>
      <c r="E31" s="1101">
        <f>IF(ISNUMBER((NºAsuntos!C31+NºAsuntos!E31)/NºAsuntos!G31),(NºAsuntos!C31+NºAsuntos!E31)/NºAsuntos!G31," - ")</f>
        <v>3.2606382978723403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76aFNOHgx/4D9hpvEgvDs8EhXoyLbwxxYSCk852J/g/+f2p562O+kAcEgJtW/Fsj5zMQGETW5jDcf7nEKAmTg==" saltValue="ldXx21yZO5j1ckwQPkZL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 ROQUE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178</v>
      </c>
      <c r="Y12" s="374">
        <f t="shared" si="0"/>
        <v>178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1.2690058479532165</v>
      </c>
      <c r="AM12" s="284">
        <f>IF(ISNUMBER(((NºAsuntos!I12/NºAsuntos!G12)*11)/factor_trimestre),((NºAsuntos!I12/NºAsuntos!G12)*11)/factor_trimestre," - ")</f>
        <v>8.7972350230414751</v>
      </c>
      <c r="AN12" s="267">
        <f>IF(ISNUMBER('Resol  Asuntos'!D12/NºAsuntos!G12),'Resol  Asuntos'!D12/NºAsuntos!G12," - ")</f>
        <v>0.14439324116743471</v>
      </c>
      <c r="AO12" s="268">
        <f>IF(ISNUMBER((NºAsuntos!C12+NºAsuntos!E12)/NºAsuntos!G12),(NºAsuntos!C12+NºAsuntos!E12)/NºAsuntos!G12," - ")</f>
        <v>3.4639016897081412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0</v>
      </c>
      <c r="G14" s="1163">
        <f t="shared" si="5"/>
        <v>0</v>
      </c>
      <c r="H14" s="1162">
        <f t="shared" si="5"/>
        <v>0</v>
      </c>
      <c r="I14" s="1164">
        <f t="shared" si="5"/>
        <v>0</v>
      </c>
      <c r="J14" s="1164">
        <f t="shared" si="5"/>
        <v>0</v>
      </c>
      <c r="K14" s="1164">
        <f t="shared" si="5"/>
        <v>0</v>
      </c>
      <c r="L14" s="1164">
        <f t="shared" si="5"/>
        <v>169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178</v>
      </c>
      <c r="Y14" s="1165">
        <f t="shared" si="6"/>
        <v>178</v>
      </c>
      <c r="Z14" s="1165">
        <f t="shared" si="6"/>
        <v>0</v>
      </c>
      <c r="AA14" s="1165">
        <f t="shared" si="6"/>
        <v>0</v>
      </c>
      <c r="AB14" s="1165">
        <f t="shared" si="6"/>
        <v>3040</v>
      </c>
      <c r="AC14" s="1165">
        <f t="shared" si="6"/>
        <v>0</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1.2690058479532165</v>
      </c>
      <c r="AM14" s="1171">
        <f>IF(ISNUMBER(((NºAsuntos!I14/NºAsuntos!G14)*11)/factor_trimestre),((NºAsuntos!I14/NºAsuntos!G14)*11)/factor_trimestre," - ")</f>
        <v>8.7972350230414751</v>
      </c>
      <c r="AN14" s="1172">
        <f>IF(ISNUMBER('Resol  Asuntos'!D14/NºAsuntos!G14),'Resol  Asuntos'!D14/NºAsuntos!G14," - ")</f>
        <v>0.14439324116743471</v>
      </c>
      <c r="AO14" s="1173">
        <f>IF(ISNUMBER((NºAsuntos!C14+NºAsuntos!E14)/NºAsuntos!G14),(NºAsuntos!C14+NºAsuntos!E14)/NºAsuntos!G14," - ")</f>
        <v>3.4639016897081412</v>
      </c>
      <c r="AP14" s="1174" t="str">
        <f t="shared" si="2"/>
        <v xml:space="preserve"> - </v>
      </c>
      <c r="AQ14" s="1174" t="str">
        <f>IF(ISNUMBER((H14-W14+K14)/(F14)),(H14-W14+K14)/(F14)," - ")</f>
        <v xml:space="preserve"> - </v>
      </c>
      <c r="AR14" s="1175">
        <f>IF(ISNUMBER((Datos!P14-Datos!Q14)/(Datos!R14-Datos!P14+Datos!Q14)),(Datos!P14-Datos!Q14)/(Datos!R14-Datos!P14+Datos!Q14)," - ")</f>
        <v>-2.9517874713020664E-3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1082</v>
      </c>
      <c r="G17" s="373">
        <f>IF(ISNUMBER(IF(D_I="SI",Datos!I17,Datos!I17+Datos!AC17)),IF(D_I="SI",Datos!I17,Datos!I17+Datos!AC17)," - ")</f>
        <v>1328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665</v>
      </c>
      <c r="X17" s="240">
        <f>IF(ISNUMBER(Datos!Q17),Datos!Q17," - ")</f>
        <v>67</v>
      </c>
      <c r="Y17" s="374">
        <f t="shared" ref="Y17:Y22" si="9">SUM(W17:X17)</f>
        <v>732</v>
      </c>
      <c r="Z17" s="375" t="str">
        <f>IF(ISNUMBER(Datos!CC17),Datos!CC17," - ")</f>
        <v xml:space="preserve"> - </v>
      </c>
      <c r="AA17" s="372">
        <f>IF(ISNUMBER(IF(D_I="SI",Datos!L17,Datos!L17+Datos!AF17)),IF(D_I="SI",Datos!L17,Datos!L17+Datos!AF17)," - ")</f>
        <v>1094</v>
      </c>
      <c r="AB17" s="374">
        <f>IF(ISNUMBER(Datos!R17),Datos!R17," - ")</f>
        <v>112</v>
      </c>
      <c r="AC17" s="374">
        <f t="shared" si="8"/>
        <v>1206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95</v>
      </c>
      <c r="AJ17" s="245" t="str">
        <f>IF(ISNUMBER(Datos!BW17),Datos!BW17," - ")</f>
        <v xml:space="preserve"> - </v>
      </c>
      <c r="AK17" s="246" t="str">
        <f>IF(ISNUMBER(Datos!BX17),Datos!BX17," - ")</f>
        <v xml:space="preserve"> - </v>
      </c>
      <c r="AL17" s="266">
        <f>IF(ISNUMBER(NºAsuntos!G17/NºAsuntos!E17),NºAsuntos!G17/NºAsuntos!E17," - ")</f>
        <v>0.98227474150664695</v>
      </c>
      <c r="AM17" s="284">
        <f>IF(ISNUMBER(((NºAsuntos!I17/NºAsuntos!G17)*11)/factor_trimestre),((NºAsuntos!I17/NºAsuntos!G17)*11)/factor_trimestre," - ")</f>
        <v>4.935338345864662</v>
      </c>
      <c r="AN17" s="267">
        <f>IF(ISNUMBER('Resol  Asuntos'!D17/NºAsuntos!G17),'Resol  Asuntos'!D17/NºAsuntos!G17," - ")</f>
        <v>0.14285714285714285</v>
      </c>
      <c r="AO17" s="268">
        <f>IF(ISNUMBER((NºAsuntos!C17+NºAsuntos!E17)/NºAsuntos!G17),(NºAsuntos!C17+NºAsuntos!E17)/NºAsuntos!G17," - ")</f>
        <v>3.0150375939849625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31</v>
      </c>
      <c r="AB18" s="374">
        <f>IF(ISNUMBER(Datos!R18),Datos!R18," - ")</f>
        <v>4</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1082</v>
      </c>
      <c r="G23" s="1163">
        <f>SUBTOTAL(9,G16:G22)</f>
        <v>1359</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665</v>
      </c>
      <c r="X23" s="1164">
        <f t="shared" si="14"/>
        <v>67</v>
      </c>
      <c r="Y23" s="1165">
        <f t="shared" si="14"/>
        <v>732</v>
      </c>
      <c r="Z23" s="1165">
        <f t="shared" si="14"/>
        <v>0</v>
      </c>
      <c r="AA23" s="1165">
        <f t="shared" si="14"/>
        <v>1125</v>
      </c>
      <c r="AB23" s="1165">
        <f t="shared" si="14"/>
        <v>116</v>
      </c>
      <c r="AC23" s="1165">
        <f t="shared" si="14"/>
        <v>1241</v>
      </c>
      <c r="AD23" s="1165">
        <f t="shared" si="14"/>
        <v>0</v>
      </c>
      <c r="AE23" s="1169">
        <f t="shared" si="14"/>
        <v>0</v>
      </c>
      <c r="AF23" s="1162">
        <f t="shared" si="14"/>
        <v>0</v>
      </c>
      <c r="AG23" s="1170">
        <f t="shared" si="14"/>
        <v>0</v>
      </c>
      <c r="AH23" s="1167">
        <f t="shared" si="14"/>
        <v>0</v>
      </c>
      <c r="AI23" s="1162">
        <f t="shared" si="14"/>
        <v>95</v>
      </c>
      <c r="AJ23" s="1164">
        <f t="shared" si="14"/>
        <v>0</v>
      </c>
      <c r="AK23" s="1167">
        <f t="shared" si="14"/>
        <v>0</v>
      </c>
      <c r="AL23" s="1171">
        <f>IF(ISNUMBER(NºAsuntos!G23/NºAsuntos!E23),NºAsuntos!G23/NºAsuntos!E23," - ")</f>
        <v>0.98227474150664695</v>
      </c>
      <c r="AM23" s="1171">
        <f>IF(ISNUMBER(((NºAsuntos!I23/NºAsuntos!G23)*11)/factor_trimestre),((NºAsuntos!I23/NºAsuntos!G23)*11)/factor_trimestre," - ")</f>
        <v>5.0751879699248121</v>
      </c>
      <c r="AN23" s="1172">
        <f>IF(ISNUMBER('Resol  Asuntos'!D23/NºAsuntos!G23),'Resol  Asuntos'!D23/NºAsuntos!G23," - ")</f>
        <v>0.14285714285714285</v>
      </c>
      <c r="AO23" s="1173">
        <f>IF(ISNUMBER((NºAsuntos!C23+NºAsuntos!E23)/NºAsuntos!G23),(NºAsuntos!C23+NºAsuntos!E23)/NºAsuntos!G23," - ")</f>
        <v>3.0616541353383457</v>
      </c>
      <c r="AP23" s="1174" t="str">
        <f t="shared" si="2"/>
        <v xml:space="preserve"> - </v>
      </c>
      <c r="AQ23" s="1174">
        <f>IF(ISNUMBER((H23-W23+K23)/(F23)),(H23-W23+K23)/(F23)," - ")</f>
        <v>-0.61460258780036969</v>
      </c>
      <c r="AR23" s="1175">
        <f>IF(ISNUMBER((Datos!P23-Datos!Q23)/(Datos!R23-Datos!P23+Datos!Q23)),(Datos!P23-Datos!Q23)/(Datos!R23-Datos!P23+Datos!Q23)," - ")</f>
        <v>-0.24675324675324675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1082</v>
      </c>
      <c r="G31" s="1118">
        <f t="shared" si="20"/>
        <v>1359</v>
      </c>
      <c r="H31" s="1117">
        <f t="shared" si="20"/>
        <v>0</v>
      </c>
      <c r="I31" s="1119">
        <f t="shared" si="20"/>
        <v>0</v>
      </c>
      <c r="J31" s="1119">
        <f t="shared" si="20"/>
        <v>0</v>
      </c>
      <c r="K31" s="1180">
        <f t="shared" si="20"/>
        <v>0</v>
      </c>
      <c r="L31" s="1119">
        <f t="shared" si="20"/>
        <v>198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665</v>
      </c>
      <c r="X31" s="1118">
        <f t="shared" si="21"/>
        <v>245</v>
      </c>
      <c r="Y31" s="1125">
        <f t="shared" si="21"/>
        <v>910</v>
      </c>
      <c r="Z31" s="1125">
        <f t="shared" si="21"/>
        <v>0</v>
      </c>
      <c r="AA31" s="1125">
        <f t="shared" si="21"/>
        <v>1125</v>
      </c>
      <c r="AB31" s="1125">
        <f t="shared" si="21"/>
        <v>3156</v>
      </c>
      <c r="AC31" s="1125">
        <f t="shared" si="21"/>
        <v>1241</v>
      </c>
      <c r="AD31" s="1125">
        <f t="shared" si="21"/>
        <v>0</v>
      </c>
      <c r="AE31" s="1127">
        <f t="shared" si="21"/>
        <v>0</v>
      </c>
      <c r="AF31" s="1128">
        <f t="shared" si="21"/>
        <v>0</v>
      </c>
      <c r="AG31" s="1129">
        <f t="shared" si="21"/>
        <v>0</v>
      </c>
      <c r="AH31" s="1127">
        <f t="shared" si="21"/>
        <v>0</v>
      </c>
      <c r="AI31" s="1117">
        <f t="shared" si="21"/>
        <v>189</v>
      </c>
      <c r="AJ31" s="1117">
        <f t="shared" si="21"/>
        <v>0</v>
      </c>
      <c r="AK31" s="1127">
        <f t="shared" si="21"/>
        <v>0</v>
      </c>
      <c r="AL31" s="1183">
        <f>IF(ISNUMBER(NºAsuntos!G31/NºAsuntos!E31),NºAsuntos!G31/NºAsuntos!E31," - ")</f>
        <v>1.1058823529411765</v>
      </c>
      <c r="AM31" s="1184">
        <f>IF(ISNUMBER(((NºAsuntos!I31/NºAsuntos!G31)*11)/factor_trimestre),((NºAsuntos!I31/NºAsuntos!G31)*11)/factor_trimestre," - ")</f>
        <v>6.9164133738601823</v>
      </c>
      <c r="AN31" s="1184">
        <f>IF(ISNUMBER('Resol  Asuntos'!D31/NºAsuntos!G31),'Resol  Asuntos'!D31/NºAsuntos!G31," - ")</f>
        <v>0.14361702127659576</v>
      </c>
      <c r="AO31" s="1185">
        <f>IF(ISNUMBER((NºAsuntos!C31+NºAsuntos!E31)/NºAsuntos!G31),(NºAsuntos!C31+NºAsuntos!E31)/NºAsuntos!G31," - ")</f>
        <v>3.2606382978723403</v>
      </c>
      <c r="AP31" s="1186" t="str">
        <f t="shared" si="2"/>
        <v xml:space="preserve"> - </v>
      </c>
      <c r="AQ31" s="1187">
        <f>IF(OR(ISNUMBER(FIND("01",Criterios!A8,1)),ISNUMBER(FIND("02",Criterios!A8,1)),ISNUMBER(FIND("03",Criterios!A8,1)),ISNUMBER(FIND("04",Criterios!A8,1))),(I31-W31+K31)/(F31-K31),(H31-W31+K31)/(F31-K31))</f>
        <v>-0.61460258780036969</v>
      </c>
      <c r="AR31" s="1188">
        <f>IF(ISNUMBER((Datos!P31-Datos!Q31)/(Datos!R31-Datos!P31+Datos!Q31)),(Datos!P31-Datos!Q31)/(Datos!R31-Datos!P31+Datos!Q31)," - ")</f>
        <v>-1.4673743365594755E-2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558.74239741285669</v>
      </c>
      <c r="G33" s="277">
        <f>IF(ISNUMBER(STDEV(G8:G30)),STDEV(G8:G30),"-")</f>
        <v>652.69510857819728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324.48677425538727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50.513788782300395</v>
      </c>
      <c r="AJ33" s="276">
        <f t="shared" si="25"/>
        <v>0</v>
      </c>
      <c r="AK33" s="278">
        <f t="shared" si="25"/>
        <v>0</v>
      </c>
      <c r="AL33" s="273">
        <f t="shared" si="25"/>
        <v>0.16554428149196559</v>
      </c>
      <c r="AM33" s="274">
        <f t="shared" si="25"/>
        <v>2.1900403028817639</v>
      </c>
      <c r="AN33" s="274">
        <f t="shared" si="25"/>
        <v>8.8686677294873533E-4</v>
      </c>
      <c r="AO33" s="275">
        <f t="shared" si="25"/>
        <v>0.24643072805886859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BS++uHzxLBRA8evSU0mr2LUqrtH57Q6LaloK+0RK0PWNcgQpaZ49c/C/ks/SjH84F5TKE421wKRLxlRI30ZQA==" saltValue="oTtFl9JDeuwvXpKYieT9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 ROQUE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-4.0816326530612242E-2</v>
      </c>
      <c r="I12" s="395">
        <f>IF(ISNUMBER((Tasas!C12-Datos!BE12)/Datos!BE12),(Tasas!C12-Datos!BE12)/Datos!BE12," - ")</f>
        <v>-0.24556636862125178</v>
      </c>
      <c r="J12" s="394">
        <f>IF(ISNUMBER((Tasas!D12-Datos!BF12)/Datos!BF12),(Tasas!D12-Datos!BF12)/Datos!BF12," - ")</f>
        <v>-0.39856038389762732</v>
      </c>
      <c r="K12" s="396">
        <f>IF(ISNUMBER((Tasas!E12-Datos!BG12)/Datos!BG12),(Tasas!E12-Datos!BG12)/Datos!BG12," - ")</f>
        <v>-0.28829741067553888</v>
      </c>
      <c r="M12" t="e">
        <f>IF(Monitorios="SI",Datos!CE12,0)</f>
        <v>#REF!</v>
      </c>
      <c r="N12" t="e">
        <f>IF(Monitorios="SI",Datos!CF12,0)</f>
        <v>#REF!</v>
      </c>
      <c r="O12" t="e">
        <f>IF(Monitorios="SI",Datos!CG12,0)</f>
        <v>#REF!</v>
      </c>
      <c r="P12" t="e">
        <f>IF(Monitorios="SI",Datos!CH12,0)</f>
        <v>#REF!</v>
      </c>
      <c r="Q12">
        <f>IF(J_V="SI",0,Datos!AG12)</f>
        <v>49</v>
      </c>
      <c r="R12">
        <f>IF(J_V="SI",0,Datos!AH12)</f>
        <v>34</v>
      </c>
      <c r="S12">
        <f>IF(J_V="SI",0,Datos!AI12)</f>
        <v>25</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-4.0816326530612242E-2</v>
      </c>
      <c r="I14" s="402">
        <f>IF(ISNUMBER((Tasas!C14-Datos!BE14)/Datos!BE14),(Tasas!C14-Datos!BE14)/Datos!BE14," - ")</f>
        <v>-0.24633580628711485</v>
      </c>
      <c r="J14" s="400">
        <f>IF(ISNUMBER((Tasas!D14-Datos!BF14)/Datos!BF14),(Tasas!D14-Datos!BF14)/Datos!BF14," - ")</f>
        <v>-0.39856038389762732</v>
      </c>
      <c r="K14" s="403">
        <f>IF(ISNUMBER((Tasas!E14-Datos!BG14)/Datos!BG14),(Tasas!E14-Datos!BG14)/Datos!BG14," - ")</f>
        <v>-0.2888772091189804</v>
      </c>
      <c r="M14" t="e">
        <f>IF(Monitorios="SI",Datos!CE14,0)</f>
        <v>#REF!</v>
      </c>
      <c r="N14" t="e">
        <f>IF(Monitorios="SI",Datos!CF14,0)</f>
        <v>#REF!</v>
      </c>
      <c r="O14" t="e">
        <f>IF(Monitorios="SI",Datos!CG14,0)</f>
        <v>#REF!</v>
      </c>
      <c r="P14" t="e">
        <f>IF(Monitorios="SI",Datos!CH14,0)</f>
        <v>#REF!</v>
      </c>
      <c r="Q14">
        <f>IF(J_V="SI",0,Datos!AG14)</f>
        <v>49</v>
      </c>
      <c r="R14">
        <f>IF(J_V="SI",0,Datos!AH14)</f>
        <v>34</v>
      </c>
      <c r="S14">
        <f>IF(J_V="SI",0,Datos!AI14)</f>
        <v>25</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-0.3303076147251639</v>
      </c>
      <c r="E17" s="393">
        <f>IF(ISNUMBER(
   IF(D_I="SI",(Datos!J17-Datos!T17)/Datos!T17,(Datos!J17+Datos!AD17-(Datos!T17+Datos!AL17))/(Datos!T17+Datos!AL17))
     ),IF(D_I="SI",(Datos!J17-Datos!T17)/Datos!T17,(Datos!J17+Datos!AD17-(Datos!T17+Datos!AL17))/(Datos!T17+Datos!AL17))," - ")</f>
        <v>-9.8535286284953394E-2</v>
      </c>
      <c r="F17" s="393">
        <f>IF(ISNUMBER(
   IF(D_I="SI",(Datos!K17-Datos!U17)/Datos!U17,(Datos!K17+Datos!AE17-(Datos!U17+Datos!AM17))/(Datos!U17+Datos!AM17))
     ),IF(D_I="SI",(Datos!K17-Datos!U17)/Datos!U17,(Datos!K17+Datos!AE17-(Datos!U17+Datos!AM17))/(Datos!U17+Datos!AM17))," - ")</f>
        <v>7.605177993527508E-2</v>
      </c>
      <c r="G17" s="394">
        <f>IF(ISNUMBER(
   IF(D_I="SI",(Datos!L17-Datos!V17)/Datos!V17,(Datos!L17+Datos!AF17-(Datos!V17+Datos!AN17))/(Datos!V17+Datos!AN17))
     ),IF(D_I="SI",(Datos!L17-Datos!V17)/Datos!V17,(Datos!L17+Datos!AF17-(Datos!V17+Datos!AN17))/(Datos!V17+Datos!AN17))," - ")</f>
        <v>-0.48298676748582231</v>
      </c>
      <c r="H17" s="244">
        <f>IF(ISNUMBER((Datos!M17-Datos!W17)/Datos!W17),(Datos!M17-Datos!W17)/Datos!W17," - ")</f>
        <v>-0.12037037037037036</v>
      </c>
      <c r="I17" s="395">
        <f>IF(ISNUMBER((Tasas!C17-Datos!BE17)/Datos!BE17),(Tasas!C17-Datos!BE17)/Datos!BE17," - ")</f>
        <v>-0.51952755234020775</v>
      </c>
      <c r="J17" s="394">
        <f>IF(ISNUMBER((Tasas!D17-Datos!BF17)/Datos!BF17),(Tasas!D17-Datos!BF17)/Datos!BF17," - ")</f>
        <v>-0.18253968253968261</v>
      </c>
      <c r="K17" s="396">
        <f>IF(ISNUMBER((Tasas!E17-Datos!BG17)/Datos!BG17),(Tasas!E17-Datos!BG17)/Datos!BG17," - ")</f>
        <v>-0.31847357970639839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-0.31111111111111112</v>
      </c>
      <c r="E18" s="393" t="str">
        <f>IF(ISNUMBER(
   IF(D_I="SI",(Datos!J18-Datos!T18)/Datos!T18,(Datos!J18+Datos!AD18-(Datos!T18+Datos!AL18))/(Datos!T18+Datos!AL18))
     ),IF(D_I="SI",(Datos!J18-Datos!T18)/Datos!T18,(Datos!J18+Datos!AD18-(Datos!T18+Datos!AL18))/(Datos!T18+Datos!AL18))," - ")</f>
        <v xml:space="preserve"> - </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-0.31111111111111112</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-0.32988165680473375</v>
      </c>
      <c r="E23" s="399">
        <f>IF(ISNUMBER(
   IF(D_I="SI",(Datos!J23-Datos!T23)/Datos!T23,(Datos!J23+Datos!AD23-(Datos!T23+Datos!AL23))/(Datos!T23+Datos!AL23))
     ),IF(D_I="SI",(Datos!J23-Datos!T23)/Datos!T23,(Datos!J23+Datos!AD23-(Datos!T23+Datos!AL23))/(Datos!T23+Datos!AL23))," - ")</f>
        <v>-9.8535286284953394E-2</v>
      </c>
      <c r="F23" s="399">
        <f>IF(ISNUMBER(
   IF(D_I="SI",(Datos!K23-Datos!U23)/Datos!U23,(Datos!K23+Datos!AE23-(Datos!U23+Datos!AM23))/(Datos!U23+Datos!AM23))
     ),IF(D_I="SI",(Datos!K23-Datos!U23)/Datos!U23,(Datos!K23+Datos!AE23-(Datos!U23+Datos!AM23))/(Datos!U23+Datos!AM23))," - ")</f>
        <v>7.605177993527508E-2</v>
      </c>
      <c r="G23" s="400">
        <f>IF(ISNUMBER(
   IF(D_I="SI",(Datos!L23-Datos!V23)/Datos!V23,(Datos!L23+Datos!AF23-(Datos!V23+Datos!AN23))/(Datos!V23+Datos!AN23))
     ),IF(D_I="SI",(Datos!L23-Datos!V23)/Datos!V23,(Datos!L23+Datos!AF23-(Datos!V23+Datos!AN23))/(Datos!V23+Datos!AN23))," - ")</f>
        <v>-0.47940768162887554</v>
      </c>
      <c r="H23" s="401">
        <f>IF(ISNUMBER((Datos!M23-Datos!W23)/Datos!W23),(Datos!M23-Datos!W23)/Datos!W23," - ")</f>
        <v>-0.12037037037037036</v>
      </c>
      <c r="I23" s="402">
        <f>IF(ISNUMBER((Tasas!C23-Datos!BE23)/Datos!BE23),(Tasas!C23-Datos!BE23)/Datos!BE23," - ")</f>
        <v>-0.51620142443104522</v>
      </c>
      <c r="J23" s="400">
        <f>IF(ISNUMBER((Tasas!D23-Datos!BF23)/Datos!BF23),(Tasas!D23-Datos!BF23)/Datos!BF23," - ")</f>
        <v>-0.18253968253968261</v>
      </c>
      <c r="K23" s="403">
        <f>IF(ISNUMBER((Tasas!E23-Datos!BG23)/Datos!BG23),(Tasas!E23-Datos!BG23)/Datos!BG23," - ")</f>
        <v>-0.3191427651532574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-0.23507646768623583</v>
      </c>
      <c r="E31" s="409">
        <f>IF(ISNUMBER(
   IF(J_V="SI",(Datos!J31-Datos!T31)/Datos!T31,(Datos!J31+Datos!Z31-(Datos!T31+Datos!AH31))/(Datos!T31+Datos!AH31))
     ),IF(J_V="SI",(Datos!J31-Datos!T31)/Datos!T31,(Datos!J31+Datos!Z31-(Datos!T31+Datos!AH31))/(Datos!T31+Datos!AH31))," - ")</f>
        <v>8.4745762711864406E-3</v>
      </c>
      <c r="F31" s="409">
        <f>IF(ISNUMBER(
   IF(J_V="SI",(Datos!K31-Datos!U31)/Datos!U31,(Datos!K31+Datos!AA31-(Datos!U31+Datos!AI31))/(Datos!U31+Datos!AI31))
     ),IF(J_V="SI",(Datos!K31-Datos!U31)/Datos!U31,(Datos!K31+Datos!AA31-(Datos!U31+Datos!AI31))/(Datos!U31+Datos!AI31))," - ")</f>
        <v>0.17290552584670232</v>
      </c>
      <c r="G31" s="410">
        <f>IF(ISNUMBER(
   IF(J_V="SI",(Datos!L31-Datos!V31)/Datos!V31,(Datos!L31+Datos!AB31-(Datos!V31+Datos!AJ31))/(Datos!V31+Datos!AJ31))
     ),IF(J_V="SI",(Datos!L31-Datos!V31)/Datos!V31,(Datos!L31+Datos!AB31-(Datos!V31+Datos!AJ31))/(Datos!V31+Datos!AJ31))," - ")</f>
        <v>-0.26394953905870938</v>
      </c>
      <c r="H31" s="411">
        <f>IF(ISNUMBER((Datos!M31-Datos!W31)/Datos!W31),(Datos!M31-Datos!W31)/Datos!W31," - ")</f>
        <v>-8.2524271844660199E-2</v>
      </c>
      <c r="I31" s="408">
        <f>IF(ISNUMBER((Tasas!C31-Datos!BE31)/Datos!BE31),(Tasas!C31-Datos!BE31)/Datos!BE31," - ")</f>
        <v>-0.37245545807285102</v>
      </c>
      <c r="J31" s="409">
        <f>IF(ISNUMBER((Tasas!D31-Datos!BF31)/Datos!BF31),(Tasas!D31-Datos!BF31)/Datos!BF31," - ")</f>
        <v>-0.29633931060113344</v>
      </c>
      <c r="K31" s="410">
        <f>IF(ISNUMBER((Tasas!E31-Datos!BG31)/Datos!BG31),(Tasas!E31-Datos!BG31)/Datos!BG31," - ")</f>
        <v>-0.30102480507971613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0.3382350522187722</v>
      </c>
      <c r="E33" s="303">
        <f t="shared" si="1"/>
        <v>0</v>
      </c>
      <c r="F33" s="303">
        <f t="shared" si="1"/>
        <v>0</v>
      </c>
      <c r="G33" s="304">
        <f t="shared" si="1"/>
        <v>0.29871457007961616</v>
      </c>
      <c r="H33" s="310">
        <f t="shared" si="1"/>
        <v>4.5930548626007615E-2</v>
      </c>
      <c r="I33" s="302">
        <f t="shared" si="1"/>
        <v>0.15699546191604674</v>
      </c>
      <c r="J33" s="303">
        <f t="shared" si="1"/>
        <v>0.12471961007954108</v>
      </c>
      <c r="K33" s="304">
        <f t="shared" si="1"/>
        <v>1.7451767053902594E-2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mry+rNC3NcuYEOiVl+kmJ7zFGsqP7WvwkNiEybVhENzK42AN5ZvxN4DYNRIqHFbJkuVuA5IjfgofV1KyWPFlg==" saltValue="1mwEusQZ8Nxpvv1Ue8Xe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